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e-Jerri\Desktop\bkp\Jerri\PPA 2022 A 2025\ENCERRAMENTO\2021\"/>
    </mc:Choice>
  </mc:AlternateContent>
  <xr:revisionPtr revIDLastSave="0" documentId="13_ncr:1_{419DF120-3976-408C-8D8D-880F463DB875}" xr6:coauthVersionLast="47" xr6:coauthVersionMax="47" xr10:uidLastSave="{00000000-0000-0000-0000-000000000000}"/>
  <bookViews>
    <workbookView xWindow="-120" yWindow="-120" windowWidth="24240" windowHeight="13140" xr2:uid="{3680CFEE-81E9-4252-9604-65A75B75D73A}"/>
  </bookViews>
  <sheets>
    <sheet name="JAN.2021" sheetId="1" r:id="rId1"/>
    <sheet name="FEV.2021" sheetId="2" r:id="rId2"/>
    <sheet name="MARÇO.2021" sheetId="3" r:id="rId3"/>
  </sheets>
  <definedNames>
    <definedName name="_xlnm.Print_Area" localSheetId="1">FEV.2021!$A$1:$T$67</definedName>
    <definedName name="_xlnm.Print_Area" localSheetId="0">JAN.2021!$A$1:$T$66</definedName>
    <definedName name="_xlnm.Print_Area" localSheetId="2">MARÇO.2021!$A$1:$T$67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55" i="1" s="1"/>
  <c r="E58" i="1"/>
  <c r="E57" i="1"/>
  <c r="E56" i="1"/>
  <c r="K33" i="3"/>
  <c r="K4" i="3"/>
  <c r="E52" i="3"/>
  <c r="E51" i="3" s="1"/>
  <c r="E48" i="3"/>
  <c r="E44" i="3"/>
  <c r="E31" i="3"/>
  <c r="E30" i="3" s="1"/>
  <c r="E26" i="3"/>
  <c r="E18" i="3"/>
  <c r="E17" i="3" s="1"/>
  <c r="E4" i="3"/>
  <c r="Q3" i="3"/>
  <c r="B61" i="3"/>
  <c r="E58" i="3"/>
  <c r="K34" i="3" s="1"/>
  <c r="E57" i="3"/>
  <c r="C51" i="3"/>
  <c r="K48" i="3"/>
  <c r="E47" i="3"/>
  <c r="C47" i="3"/>
  <c r="K45" i="3"/>
  <c r="K43" i="3"/>
  <c r="E43" i="3"/>
  <c r="C43" i="3"/>
  <c r="K40" i="3"/>
  <c r="E39" i="3"/>
  <c r="C39" i="3"/>
  <c r="E35" i="3"/>
  <c r="C35" i="3"/>
  <c r="K52" i="3"/>
  <c r="K30" i="3"/>
  <c r="C30" i="3"/>
  <c r="C25" i="3"/>
  <c r="K24" i="3"/>
  <c r="S22" i="3"/>
  <c r="K22" i="3"/>
  <c r="E21" i="3"/>
  <c r="C21" i="3"/>
  <c r="K20" i="3"/>
  <c r="S19" i="3"/>
  <c r="S18" i="3"/>
  <c r="S17" i="3"/>
  <c r="C17" i="3"/>
  <c r="E64" i="3" s="1"/>
  <c r="S16" i="3"/>
  <c r="K14" i="3"/>
  <c r="E62" i="3" s="1"/>
  <c r="K3" i="3"/>
  <c r="Q16" i="3"/>
  <c r="Q19" i="3" s="1"/>
  <c r="C3" i="3"/>
  <c r="K33" i="2"/>
  <c r="K4" i="2"/>
  <c r="E52" i="2"/>
  <c r="E48" i="2"/>
  <c r="E44" i="2"/>
  <c r="E43" i="2" s="1"/>
  <c r="E31" i="2"/>
  <c r="E30" i="2" s="1"/>
  <c r="E26" i="2"/>
  <c r="E25" i="2" s="1"/>
  <c r="E18" i="2"/>
  <c r="E17" i="2" s="1"/>
  <c r="E4" i="2"/>
  <c r="Q3" i="2"/>
  <c r="K3" i="2"/>
  <c r="B61" i="2"/>
  <c r="E58" i="2"/>
  <c r="K34" i="2" s="1"/>
  <c r="E57" i="2"/>
  <c r="E51" i="2"/>
  <c r="C51" i="2"/>
  <c r="K48" i="2"/>
  <c r="E47" i="2"/>
  <c r="C47" i="2"/>
  <c r="E63" i="2" s="1"/>
  <c r="K45" i="2"/>
  <c r="K43" i="2"/>
  <c r="C43" i="2"/>
  <c r="K40" i="2"/>
  <c r="E39" i="2"/>
  <c r="C39" i="2"/>
  <c r="E35" i="2"/>
  <c r="C35" i="2"/>
  <c r="B66" i="2" s="1"/>
  <c r="C63" i="2"/>
  <c r="K30" i="2"/>
  <c r="C30" i="2"/>
  <c r="C25" i="2"/>
  <c r="K24" i="2"/>
  <c r="S22" i="2"/>
  <c r="K22" i="2"/>
  <c r="E21" i="2"/>
  <c r="C21" i="2"/>
  <c r="K20" i="2"/>
  <c r="S19" i="2"/>
  <c r="S18" i="2"/>
  <c r="S17" i="2"/>
  <c r="C17" i="2"/>
  <c r="E64" i="2" s="1"/>
  <c r="S16" i="2"/>
  <c r="K14" i="2"/>
  <c r="Q16" i="2"/>
  <c r="Q19" i="2" s="1"/>
  <c r="C3" i="2"/>
  <c r="E60" i="2" s="1"/>
  <c r="K3" i="1"/>
  <c r="K33" i="1"/>
  <c r="C63" i="1" s="1"/>
  <c r="K34" i="1"/>
  <c r="Q3" i="1"/>
  <c r="Q4" i="1"/>
  <c r="E52" i="1"/>
  <c r="E51" i="1" s="1"/>
  <c r="E48" i="1"/>
  <c r="E44" i="1"/>
  <c r="E43" i="1" s="1"/>
  <c r="E31" i="1"/>
  <c r="E30" i="1" s="1"/>
  <c r="E26" i="1"/>
  <c r="E18" i="1"/>
  <c r="E17" i="1" s="1"/>
  <c r="E4" i="1"/>
  <c r="B61" i="1"/>
  <c r="K52" i="1"/>
  <c r="C51" i="1"/>
  <c r="K48" i="1"/>
  <c r="E47" i="1"/>
  <c r="C47" i="1"/>
  <c r="E63" i="1" s="1"/>
  <c r="K45" i="1"/>
  <c r="K43" i="1"/>
  <c r="C43" i="1"/>
  <c r="K40" i="1"/>
  <c r="E39" i="1"/>
  <c r="C39" i="1"/>
  <c r="E35" i="1"/>
  <c r="C35" i="1"/>
  <c r="K30" i="1"/>
  <c r="C30" i="1"/>
  <c r="E25" i="1"/>
  <c r="C25" i="1"/>
  <c r="K24" i="1"/>
  <c r="S22" i="1"/>
  <c r="K22" i="1"/>
  <c r="E21" i="1"/>
  <c r="C21" i="1"/>
  <c r="K20" i="1"/>
  <c r="S19" i="1"/>
  <c r="S18" i="1"/>
  <c r="C17" i="1"/>
  <c r="Q16" i="1"/>
  <c r="Q19" i="1" s="1"/>
  <c r="K14" i="1"/>
  <c r="S17" i="1"/>
  <c r="C3" i="1"/>
  <c r="E63" i="3" l="1"/>
  <c r="Q20" i="3"/>
  <c r="E61" i="3"/>
  <c r="B66" i="3"/>
  <c r="K53" i="3"/>
  <c r="E60" i="3"/>
  <c r="K35" i="3"/>
  <c r="Q28" i="3" s="1"/>
  <c r="R28" i="3" s="1"/>
  <c r="C63" i="3"/>
  <c r="E25" i="3"/>
  <c r="C55" i="3"/>
  <c r="K35" i="2"/>
  <c r="O35" i="2" s="1"/>
  <c r="E56" i="2"/>
  <c r="Q20" i="2"/>
  <c r="E61" i="2"/>
  <c r="C62" i="2" s="1"/>
  <c r="C64" i="2" s="1"/>
  <c r="E62" i="2"/>
  <c r="K53" i="2"/>
  <c r="E3" i="2"/>
  <c r="E55" i="2" s="1"/>
  <c r="C55" i="2"/>
  <c r="K52" i="2"/>
  <c r="E62" i="1"/>
  <c r="K53" i="1"/>
  <c r="E64" i="1"/>
  <c r="E61" i="1"/>
  <c r="B66" i="1"/>
  <c r="C55" i="1"/>
  <c r="E60" i="1"/>
  <c r="C62" i="1" s="1"/>
  <c r="S16" i="1"/>
  <c r="Q20" i="1" s="1"/>
  <c r="K35" i="1"/>
  <c r="Q28" i="1" s="1"/>
  <c r="R28" i="1" s="1"/>
  <c r="K51" i="2" l="1"/>
  <c r="Q26" i="1"/>
  <c r="R26" i="1" s="1"/>
  <c r="C62" i="3"/>
  <c r="C64" i="3" s="1"/>
  <c r="K37" i="3"/>
  <c r="K51" i="3"/>
  <c r="O35" i="3"/>
  <c r="Q26" i="3"/>
  <c r="R26" i="3" s="1"/>
  <c r="Q26" i="2"/>
  <c r="R26" i="2" s="1"/>
  <c r="K37" i="2"/>
  <c r="Q28" i="2"/>
  <c r="R28" i="2" s="1"/>
  <c r="C56" i="2"/>
  <c r="C57" i="2" s="1"/>
  <c r="K54" i="2"/>
  <c r="K55" i="2" s="1"/>
  <c r="L51" i="2"/>
  <c r="O35" i="1"/>
  <c r="C64" i="1"/>
  <c r="C56" i="1"/>
  <c r="C57" i="1" s="1"/>
  <c r="K37" i="1"/>
  <c r="K51" i="1"/>
  <c r="K54" i="3" l="1"/>
  <c r="L51" i="3"/>
  <c r="L51" i="1"/>
  <c r="K54" i="1"/>
  <c r="K55" i="1" s="1"/>
  <c r="E3" i="3"/>
  <c r="E55" i="3" s="1"/>
  <c r="C56" i="3" s="1"/>
  <c r="C57" i="3" s="1"/>
  <c r="E56" i="3"/>
  <c r="K55" i="3" l="1"/>
  <c r="R33" i="3"/>
  <c r="R35" i="3" s="1"/>
</calcChain>
</file>

<file path=xl/sharedStrings.xml><?xml version="1.0" encoding="utf-8"?>
<sst xmlns="http://schemas.openxmlformats.org/spreadsheetml/2006/main" count="684" uniqueCount="140">
  <si>
    <t xml:space="preserve"> </t>
  </si>
  <si>
    <t xml:space="preserve">  </t>
  </si>
  <si>
    <t>Prov BRUTO</t>
  </si>
  <si>
    <t>EXTRA</t>
  </si>
  <si>
    <t>VALOR</t>
  </si>
  <si>
    <t>BANCO</t>
  </si>
  <si>
    <t>Ativos-LIVRE  001      356</t>
  </si>
  <si>
    <t>Ob. Patr-Prefeitura</t>
  </si>
  <si>
    <t>BANR - BB</t>
  </si>
  <si>
    <t>Empenho</t>
  </si>
  <si>
    <t>SIST  3712</t>
  </si>
  <si>
    <t>Rec. LIVRE   001</t>
  </si>
  <si>
    <t>Rec. LIVRE</t>
  </si>
  <si>
    <t xml:space="preserve">Proventos </t>
  </si>
  <si>
    <t xml:space="preserve">Simfor Inativ </t>
  </si>
  <si>
    <t>04.000141.0-1</t>
  </si>
  <si>
    <t>Retenções</t>
  </si>
  <si>
    <t>319113030100</t>
  </si>
  <si>
    <t>04.007445.0-9</t>
  </si>
  <si>
    <t xml:space="preserve">Pensionistas </t>
  </si>
  <si>
    <t>IPE parcelamento</t>
  </si>
  <si>
    <t xml:space="preserve">IRRF  </t>
  </si>
  <si>
    <t xml:space="preserve">NATUREZA DA DESPESA </t>
  </si>
  <si>
    <t xml:space="preserve">Emp 44 </t>
  </si>
  <si>
    <t>Aprofor</t>
  </si>
  <si>
    <t>FAPS  341</t>
  </si>
  <si>
    <t>DIMINUIR PATRONAL UG2</t>
  </si>
  <si>
    <t xml:space="preserve">Maternidade </t>
  </si>
  <si>
    <t>Telefone Vivo</t>
  </si>
  <si>
    <t>Restituições 6163</t>
  </si>
  <si>
    <t xml:space="preserve">IPE  </t>
  </si>
  <si>
    <t xml:space="preserve">CEF </t>
  </si>
  <si>
    <t xml:space="preserve">BANRISUL </t>
  </si>
  <si>
    <t>SICREDI</t>
  </si>
  <si>
    <t>IRRF</t>
  </si>
  <si>
    <t>SIST   3683</t>
  </si>
  <si>
    <t>Ativos-FUNDEB 31       356</t>
  </si>
  <si>
    <t xml:space="preserve"> 8655-X</t>
  </si>
  <si>
    <t>Salário família emp 2515</t>
  </si>
  <si>
    <t>Sub-Total:</t>
  </si>
  <si>
    <t>SIST   3716</t>
  </si>
  <si>
    <t>MDEF 20</t>
  </si>
  <si>
    <t>MDEF</t>
  </si>
  <si>
    <r>
      <t xml:space="preserve">Abono Fam </t>
    </r>
    <r>
      <rPr>
        <b/>
        <sz val="11"/>
        <color theme="1"/>
        <rFont val="Calibri"/>
        <family val="2"/>
        <scheme val="minor"/>
      </rPr>
      <t>FAPS</t>
    </r>
    <r>
      <rPr>
        <sz val="11"/>
        <color theme="1"/>
        <rFont val="Calibri"/>
        <family val="2"/>
        <scheme val="minor"/>
      </rPr>
      <t>:</t>
    </r>
  </si>
  <si>
    <r>
      <t xml:space="preserve">Mandar p/ </t>
    </r>
    <r>
      <rPr>
        <b/>
        <sz val="11"/>
        <color rgb="FFFF0000"/>
        <rFont val="Calibri"/>
        <family val="2"/>
        <scheme val="minor"/>
      </rPr>
      <t>Extra 3639</t>
    </r>
  </si>
  <si>
    <t>0.400796908</t>
  </si>
  <si>
    <t>04.007721.0-3</t>
  </si>
  <si>
    <r>
      <t xml:space="preserve">Abono Fam </t>
    </r>
    <r>
      <rPr>
        <b/>
        <sz val="11"/>
        <rFont val="Calibri"/>
        <family val="2"/>
        <scheme val="minor"/>
      </rPr>
      <t>Prefeitura</t>
    </r>
    <r>
      <rPr>
        <sz val="11"/>
        <rFont val="Calibri"/>
        <family val="2"/>
        <scheme val="minor"/>
      </rPr>
      <t>:</t>
    </r>
  </si>
  <si>
    <r>
      <t xml:space="preserve"> Mandar p/</t>
    </r>
    <r>
      <rPr>
        <b/>
        <sz val="11"/>
        <color rgb="FFFF0000"/>
        <rFont val="Calibri"/>
        <family val="2"/>
        <scheme val="minor"/>
      </rPr>
      <t xml:space="preserve"> Mov 3712-IRRF</t>
    </r>
  </si>
  <si>
    <t>0.400014101</t>
  </si>
  <si>
    <t xml:space="preserve">                                                                                                         </t>
  </si>
  <si>
    <t>Total FAPS:</t>
  </si>
  <si>
    <r>
      <t>Mandar p/</t>
    </r>
    <r>
      <rPr>
        <b/>
        <sz val="11"/>
        <color rgb="FFFF0000"/>
        <rFont val="Calibri"/>
        <family val="2"/>
        <scheme val="minor"/>
      </rPr>
      <t>3637-FAPS</t>
    </r>
  </si>
  <si>
    <t>0.400744509</t>
  </si>
  <si>
    <t>FAPS 341</t>
  </si>
  <si>
    <t>SIST 3716</t>
  </si>
  <si>
    <t>MDE- 20   356</t>
  </si>
  <si>
    <t>Líqudo FAPS:</t>
  </si>
  <si>
    <t>PARA CTA FL PGTO BANRISUL 0400804005</t>
  </si>
  <si>
    <t>SIST 4232</t>
  </si>
  <si>
    <t>NASF/ESF 4090</t>
  </si>
  <si>
    <t>SIST  3732</t>
  </si>
  <si>
    <t>Ativo-ASPS 40     356</t>
  </si>
  <si>
    <t>**** FAZER GUIA IR ARRECADAÇÃO</t>
  </si>
  <si>
    <t>04.007720.0-6</t>
  </si>
  <si>
    <t>FAPS</t>
  </si>
  <si>
    <t>SIST XXXX</t>
  </si>
  <si>
    <t>VIG EM SAÚDE - 4502</t>
  </si>
  <si>
    <t>SIST   8306</t>
  </si>
  <si>
    <t>FUNDEB 31</t>
  </si>
  <si>
    <t>FUNDEB</t>
  </si>
  <si>
    <t>006624028-2</t>
  </si>
  <si>
    <t>8655-X</t>
  </si>
  <si>
    <t>SIST  3704</t>
  </si>
  <si>
    <t>CRAS - 1064</t>
  </si>
  <si>
    <t>BB 8247-3</t>
  </si>
  <si>
    <t>SIST 3732</t>
  </si>
  <si>
    <t>ASPS 040</t>
  </si>
  <si>
    <t>ASPS</t>
  </si>
  <si>
    <t>SIST 4183</t>
  </si>
  <si>
    <t>FMAS-1136        356</t>
  </si>
  <si>
    <t>04.009068.0-0</t>
  </si>
  <si>
    <t xml:space="preserve">IRRF </t>
  </si>
  <si>
    <t>Amortiz. Pref.      355</t>
  </si>
  <si>
    <t>RET SERV 341</t>
  </si>
  <si>
    <t>SIST 6478</t>
  </si>
  <si>
    <t>CUSTEIO ATB 4500</t>
  </si>
  <si>
    <t xml:space="preserve">VIG SANIT . FED. </t>
  </si>
  <si>
    <t>Ativos 356</t>
  </si>
  <si>
    <t>Dif ref Abono Fam. Faps</t>
  </si>
  <si>
    <t>SIST  6482</t>
  </si>
  <si>
    <t>CUSTEIO ATB BÁSICA 4511</t>
  </si>
  <si>
    <t>ATB BASICA</t>
  </si>
  <si>
    <t>INATIVOS</t>
  </si>
  <si>
    <t>CX 006624028-2</t>
  </si>
  <si>
    <t xml:space="preserve">  31  Fundeb     </t>
  </si>
  <si>
    <t>SIST 3704</t>
  </si>
  <si>
    <t>FNAS 1064</t>
  </si>
  <si>
    <t xml:space="preserve">CRAS </t>
  </si>
  <si>
    <t>SIST   3732</t>
  </si>
  <si>
    <t xml:space="preserve">40  ASPS      </t>
  </si>
  <si>
    <t>8247-3</t>
  </si>
  <si>
    <t xml:space="preserve">20   MDE       </t>
  </si>
  <si>
    <t>FMAS.1136</t>
  </si>
  <si>
    <t>FMAS</t>
  </si>
  <si>
    <t>Amortização RPPS  355</t>
  </si>
  <si>
    <t>Ret. Servidores  341</t>
  </si>
  <si>
    <t>Patr Inat: 356</t>
  </si>
  <si>
    <t>VIGILÂNCIA EM SAÚDE - 4502</t>
  </si>
  <si>
    <t>PSF - SAUDE</t>
  </si>
  <si>
    <t xml:space="preserve">Total Obrigação Patronal: </t>
  </si>
  <si>
    <t>04.009154.0-0</t>
  </si>
  <si>
    <t>Amortização:</t>
  </si>
  <si>
    <t>Retenção dos Servidores:</t>
  </si>
  <si>
    <t>TOTAL GERAL do RPPS:</t>
  </si>
  <si>
    <t>3638 B.Brasil</t>
  </si>
  <si>
    <t>Líq. Servidores:</t>
  </si>
  <si>
    <r>
      <rPr>
        <sz val="11"/>
        <rFont val="Calibri"/>
        <family val="2"/>
        <scheme val="minor"/>
      </rPr>
      <t>Mandar</t>
    </r>
    <r>
      <rPr>
        <b/>
        <sz val="11"/>
        <rFont val="Calibri"/>
        <family val="2"/>
        <scheme val="minor"/>
      </rPr>
      <t xml:space="preserve"> Extra 3713:</t>
    </r>
  </si>
  <si>
    <t>0.400680004</t>
  </si>
  <si>
    <t>CNPJ 11.321.065/0001-55</t>
  </si>
  <si>
    <t>valor da fl pagamento</t>
  </si>
  <si>
    <r>
      <rPr>
        <sz val="11"/>
        <rFont val="Calibri"/>
        <family val="2"/>
        <scheme val="minor"/>
      </rPr>
      <t xml:space="preserve">Mandar </t>
    </r>
    <r>
      <rPr>
        <b/>
        <sz val="11"/>
        <rFont val="Calibri"/>
        <family val="2"/>
        <scheme val="minor"/>
      </rPr>
      <t>Mov.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3712:</t>
    </r>
  </si>
  <si>
    <r>
      <rPr>
        <sz val="11"/>
        <rFont val="Calibri"/>
        <family val="2"/>
        <scheme val="minor"/>
      </rPr>
      <t>Mandar</t>
    </r>
    <r>
      <rPr>
        <b/>
        <sz val="11"/>
        <rFont val="Calibri"/>
        <family val="2"/>
        <scheme val="minor"/>
      </rPr>
      <t xml:space="preserve"> FAPS 3637:</t>
    </r>
  </si>
  <si>
    <t>PARA CTA FL PGTO BANRISUL 0400680101</t>
  </si>
  <si>
    <t>LIVRE</t>
  </si>
  <si>
    <t>LIVRE ASPS MDEF FMAS</t>
  </si>
  <si>
    <t>AMORTIZAÇÃO</t>
  </si>
  <si>
    <t>SEM PAGAR PATRONAL E AMORT</t>
  </si>
  <si>
    <t>28.2</t>
  </si>
  <si>
    <t>FOLHA JANEIRO.2021</t>
  </si>
  <si>
    <t>FAPS -JANEIRO.2021</t>
  </si>
  <si>
    <t>FOLHA RPPS - UG 2 -JANEIRO.2021</t>
  </si>
  <si>
    <t>DESC CONSIG TELEFONE</t>
  </si>
  <si>
    <t>319113000000</t>
  </si>
  <si>
    <t>FOLHA FEVEREIRO.2021</t>
  </si>
  <si>
    <t>FAPS -FEVEREIRO.2021</t>
  </si>
  <si>
    <t>FOLHA RPPS - UG 2 -FEVEREIRO.2021</t>
  </si>
  <si>
    <t>FOLHA MARÇO.2021</t>
  </si>
  <si>
    <t>FAPS -MARÇO.2021</t>
  </si>
  <si>
    <t>FOLHA RPPS - UG 2 -MARÇO.2021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</si>
</sst>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8">
    <xf numFmtId="0" fontId="0" fillId="0" borderId="0" xfId="0"/>
    <xf numFmtId="0" fontId="3" fillId="2" borderId="2" xfId="0" applyFont="1" applyFill="1" applyBorder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2" fillId="0" borderId="3" xfId="0" applyFont="1" applyBorder="1"/>
    <xf numFmtId="0" fontId="3" fillId="2" borderId="4" xfId="0" applyFont="1" applyFill="1" applyBorder="1"/>
    <xf numFmtId="164" fontId="5" fillId="3" borderId="2" xfId="0" applyNumberFormat="1" applyFont="1" applyFill="1" applyBorder="1" applyAlignment="1">
      <alignment horizontal="left"/>
    </xf>
    <xf numFmtId="0" fontId="3" fillId="2" borderId="2" xfId="0" applyFont="1" applyFill="1" applyBorder="1"/>
    <xf numFmtId="4" fontId="0" fillId="2" borderId="2" xfId="0" applyNumberFormat="1" applyFill="1" applyBorder="1"/>
    <xf numFmtId="0" fontId="3" fillId="0" borderId="4" xfId="0" applyFont="1" applyBorder="1"/>
    <xf numFmtId="4" fontId="3" fillId="3" borderId="5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left"/>
    </xf>
    <xf numFmtId="0" fontId="0" fillId="0" borderId="4" xfId="0" applyBorder="1"/>
    <xf numFmtId="4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2" fillId="0" borderId="7" xfId="0" applyFont="1" applyBorder="1"/>
    <xf numFmtId="0" fontId="0" fillId="4" borderId="4" xfId="0" applyFill="1" applyBorder="1"/>
    <xf numFmtId="164" fontId="0" fillId="0" borderId="2" xfId="0" applyNumberFormat="1" applyBorder="1" applyAlignment="1">
      <alignment horizontal="left"/>
    </xf>
    <xf numFmtId="164" fontId="0" fillId="0" borderId="2" xfId="0" applyNumberFormat="1" applyBorder="1"/>
    <xf numFmtId="49" fontId="0" fillId="0" borderId="4" xfId="0" applyNumberFormat="1" applyBorder="1" applyAlignment="1">
      <alignment horizontal="left"/>
    </xf>
    <xf numFmtId="1" fontId="2" fillId="0" borderId="7" xfId="0" applyNumberFormat="1" applyFont="1" applyBorder="1" applyAlignment="1">
      <alignment horizontal="left"/>
    </xf>
    <xf numFmtId="0" fontId="0" fillId="4" borderId="2" xfId="0" applyFill="1" applyBorder="1"/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4" fontId="0" fillId="4" borderId="2" xfId="0" applyNumberForma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2" fillId="0" borderId="0" xfId="1" applyFont="1" applyBorder="1" applyAlignment="1">
      <alignment horizontal="left"/>
    </xf>
    <xf numFmtId="0" fontId="0" fillId="4" borderId="2" xfId="0" applyFill="1" applyBorder="1" applyAlignment="1">
      <alignment horizontal="left"/>
    </xf>
    <xf numFmtId="0" fontId="7" fillId="4" borderId="2" xfId="0" applyFont="1" applyFill="1" applyBorder="1"/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164" fontId="0" fillId="0" borderId="0" xfId="0" applyNumberFormat="1"/>
    <xf numFmtId="0" fontId="8" fillId="4" borderId="2" xfId="0" applyFont="1" applyFill="1" applyBorder="1"/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4" borderId="2" xfId="0" applyFont="1" applyFill="1" applyBorder="1"/>
    <xf numFmtId="164" fontId="0" fillId="4" borderId="2" xfId="0" applyNumberFormat="1" applyFill="1" applyBorder="1" applyAlignment="1">
      <alignment horizontal="left"/>
    </xf>
    <xf numFmtId="4" fontId="0" fillId="0" borderId="0" xfId="0" applyNumberFormat="1"/>
    <xf numFmtId="0" fontId="3" fillId="2" borderId="2" xfId="0" applyFont="1" applyFill="1" applyBorder="1" applyAlignment="1">
      <alignment horizontal="right"/>
    </xf>
    <xf numFmtId="4" fontId="0" fillId="3" borderId="2" xfId="0" applyNumberForma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4" fontId="3" fillId="3" borderId="8" xfId="0" applyNumberFormat="1" applyFont="1" applyFill="1" applyBorder="1"/>
    <xf numFmtId="0" fontId="7" fillId="0" borderId="0" xfId="0" applyFont="1"/>
    <xf numFmtId="164" fontId="3" fillId="3" borderId="2" xfId="0" applyNumberFormat="1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right"/>
    </xf>
    <xf numFmtId="4" fontId="7" fillId="4" borderId="5" xfId="0" applyNumberFormat="1" applyFont="1" applyFill="1" applyBorder="1" applyAlignment="1">
      <alignment horizontal="center"/>
    </xf>
    <xf numFmtId="0" fontId="2" fillId="0" borderId="9" xfId="0" applyFont="1" applyBorder="1"/>
    <xf numFmtId="4" fontId="7" fillId="0" borderId="4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4" fontId="2" fillId="3" borderId="5" xfId="0" applyNumberFormat="1" applyFont="1" applyFill="1" applyBorder="1" applyAlignment="1">
      <alignment horizontal="center"/>
    </xf>
    <xf numFmtId="0" fontId="2" fillId="0" borderId="10" xfId="0" applyFont="1" applyBorder="1"/>
    <xf numFmtId="0" fontId="5" fillId="0" borderId="0" xfId="0" applyFont="1"/>
    <xf numFmtId="0" fontId="9" fillId="0" borderId="0" xfId="0" applyFont="1" applyAlignment="1">
      <alignment horizontal="right"/>
    </xf>
    <xf numFmtId="4" fontId="9" fillId="0" borderId="11" xfId="0" applyNumberFormat="1" applyFont="1" applyBorder="1" applyAlignment="1">
      <alignment horizontal="center"/>
    </xf>
    <xf numFmtId="0" fontId="2" fillId="0" borderId="12" xfId="0" applyFont="1" applyBorder="1"/>
    <xf numFmtId="4" fontId="7" fillId="0" borderId="13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2" fillId="5" borderId="9" xfId="0" applyFont="1" applyFill="1" applyBorder="1"/>
    <xf numFmtId="0" fontId="3" fillId="5" borderId="4" xfId="0" applyFont="1" applyFill="1" applyBorder="1"/>
    <xf numFmtId="0" fontId="2" fillId="0" borderId="6" xfId="0" applyFont="1" applyBorder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4" fontId="8" fillId="3" borderId="6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164" fontId="0" fillId="3" borderId="2" xfId="0" applyNumberFormat="1" applyFill="1" applyBorder="1" applyAlignment="1">
      <alignment horizontal="left"/>
    </xf>
    <xf numFmtId="0" fontId="0" fillId="2" borderId="2" xfId="0" applyFill="1" applyBorder="1"/>
    <xf numFmtId="0" fontId="2" fillId="5" borderId="17" xfId="0" applyFont="1" applyFill="1" applyBorder="1"/>
    <xf numFmtId="49" fontId="0" fillId="4" borderId="13" xfId="0" applyNumberFormat="1" applyFill="1" applyBorder="1" applyAlignment="1">
      <alignment horizontal="left"/>
    </xf>
    <xf numFmtId="4" fontId="0" fillId="5" borderId="8" xfId="0" applyNumberFormat="1" applyFill="1" applyBorder="1" applyAlignment="1">
      <alignment horizontal="center"/>
    </xf>
    <xf numFmtId="4" fontId="5" fillId="0" borderId="0" xfId="0" applyNumberFormat="1" applyFont="1"/>
    <xf numFmtId="4" fontId="7" fillId="0" borderId="0" xfId="0" applyNumberFormat="1" applyFont="1"/>
    <xf numFmtId="0" fontId="2" fillId="0" borderId="18" xfId="0" applyFont="1" applyBorder="1"/>
    <xf numFmtId="4" fontId="3" fillId="3" borderId="2" xfId="0" applyNumberFormat="1" applyFont="1" applyFill="1" applyBorder="1" applyAlignment="1">
      <alignment horizontal="center"/>
    </xf>
    <xf numFmtId="0" fontId="3" fillId="7" borderId="0" xfId="0" applyFont="1" applyFill="1"/>
    <xf numFmtId="4" fontId="3" fillId="7" borderId="0" xfId="0" applyNumberFormat="1" applyFont="1" applyFill="1"/>
    <xf numFmtId="0" fontId="2" fillId="0" borderId="19" xfId="0" applyFont="1" applyBorder="1"/>
    <xf numFmtId="0" fontId="3" fillId="0" borderId="2" xfId="0" applyFont="1" applyBorder="1" applyAlignment="1">
      <alignment horizontal="left"/>
    </xf>
    <xf numFmtId="0" fontId="2" fillId="0" borderId="20" xfId="0" applyFont="1" applyBorder="1"/>
    <xf numFmtId="0" fontId="2" fillId="0" borderId="0" xfId="0" applyFont="1" applyAlignment="1">
      <alignment vertical="justify"/>
    </xf>
    <xf numFmtId="0" fontId="2" fillId="0" borderId="21" xfId="0" applyFont="1" applyBorder="1"/>
    <xf numFmtId="0" fontId="3" fillId="0" borderId="22" xfId="0" applyFont="1" applyBorder="1"/>
    <xf numFmtId="4" fontId="3" fillId="3" borderId="23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vertical="justify"/>
    </xf>
    <xf numFmtId="4" fontId="0" fillId="0" borderId="5" xfId="0" applyNumberForma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0" fillId="4" borderId="4" xfId="0" applyFill="1" applyBorder="1" applyAlignment="1">
      <alignment horizontal="left"/>
    </xf>
    <xf numFmtId="0" fontId="3" fillId="0" borderId="2" xfId="0" applyFont="1" applyBorder="1"/>
    <xf numFmtId="4" fontId="0" fillId="0" borderId="8" xfId="0" applyNumberFormat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8" borderId="24" xfId="0" applyFont="1" applyFill="1" applyBorder="1"/>
    <xf numFmtId="4" fontId="3" fillId="8" borderId="14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9" borderId="4" xfId="0" applyFont="1" applyFill="1" applyBorder="1"/>
    <xf numFmtId="4" fontId="3" fillId="9" borderId="25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center"/>
    </xf>
    <xf numFmtId="16" fontId="2" fillId="0" borderId="7" xfId="0" applyNumberFormat="1" applyFont="1" applyBorder="1"/>
    <xf numFmtId="4" fontId="3" fillId="10" borderId="9" xfId="0" applyNumberFormat="1" applyFont="1" applyFill="1" applyBorder="1"/>
    <xf numFmtId="4" fontId="3" fillId="0" borderId="0" xfId="0" applyNumberFormat="1" applyFont="1" applyAlignment="1">
      <alignment horizontal="center"/>
    </xf>
    <xf numFmtId="0" fontId="3" fillId="10" borderId="17" xfId="0" applyFont="1" applyFill="1" applyBorder="1"/>
    <xf numFmtId="4" fontId="3" fillId="0" borderId="0" xfId="0" applyNumberFormat="1" applyFont="1"/>
    <xf numFmtId="4" fontId="3" fillId="0" borderId="2" xfId="0" applyNumberFormat="1" applyFont="1" applyBorder="1" applyAlignment="1">
      <alignment horizontal="center"/>
    </xf>
    <xf numFmtId="0" fontId="3" fillId="11" borderId="4" xfId="0" applyFont="1" applyFill="1" applyBorder="1" applyAlignment="1">
      <alignment horizontal="left"/>
    </xf>
    <xf numFmtId="0" fontId="3" fillId="11" borderId="2" xfId="0" applyFont="1" applyFill="1" applyBorder="1"/>
    <xf numFmtId="0" fontId="0" fillId="11" borderId="2" xfId="0" applyFill="1" applyBorder="1" applyAlignment="1">
      <alignment horizontal="center"/>
    </xf>
    <xf numFmtId="0" fontId="3" fillId="0" borderId="0" xfId="0" applyFont="1"/>
    <xf numFmtId="0" fontId="2" fillId="0" borderId="17" xfId="0" applyFont="1" applyBorder="1"/>
    <xf numFmtId="164" fontId="0" fillId="0" borderId="5" xfId="0" applyNumberFormat="1" applyBorder="1" applyAlignment="1">
      <alignment horizontal="left"/>
    </xf>
    <xf numFmtId="4" fontId="0" fillId="0" borderId="0" xfId="0" applyNumberFormat="1" applyAlignment="1">
      <alignment horizontal="right"/>
    </xf>
    <xf numFmtId="4" fontId="8" fillId="8" borderId="26" xfId="0" applyNumberFormat="1" applyFont="1" applyFill="1" applyBorder="1" applyAlignment="1">
      <alignment horizontal="center"/>
    </xf>
    <xf numFmtId="164" fontId="0" fillId="4" borderId="5" xfId="0" applyNumberFormat="1" applyFill="1" applyBorder="1" applyAlignment="1">
      <alignment horizontal="left"/>
    </xf>
    <xf numFmtId="4" fontId="6" fillId="0" borderId="0" xfId="0" applyNumberFormat="1" applyFont="1"/>
    <xf numFmtId="4" fontId="11" fillId="9" borderId="2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3" fillId="12" borderId="4" xfId="0" applyFont="1" applyFill="1" applyBorder="1"/>
    <xf numFmtId="164" fontId="0" fillId="3" borderId="2" xfId="1" applyFont="1" applyFill="1" applyBorder="1"/>
    <xf numFmtId="0" fontId="3" fillId="13" borderId="2" xfId="0" applyFont="1" applyFill="1" applyBorder="1"/>
    <xf numFmtId="164" fontId="3" fillId="3" borderId="2" xfId="1" applyFont="1" applyFill="1" applyBorder="1"/>
    <xf numFmtId="0" fontId="0" fillId="13" borderId="2" xfId="0" applyFill="1" applyBorder="1"/>
    <xf numFmtId="164" fontId="0" fillId="0" borderId="2" xfId="1" applyFont="1" applyBorder="1"/>
    <xf numFmtId="4" fontId="3" fillId="0" borderId="0" xfId="0" applyNumberFormat="1" applyFont="1" applyAlignment="1">
      <alignment horizontal="right"/>
    </xf>
    <xf numFmtId="164" fontId="3" fillId="3" borderId="5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3" fillId="0" borderId="27" xfId="0" applyFont="1" applyBorder="1" applyAlignment="1">
      <alignment horizontal="right"/>
    </xf>
    <xf numFmtId="164" fontId="5" fillId="0" borderId="11" xfId="0" applyNumberFormat="1" applyFont="1" applyBorder="1" applyAlignment="1">
      <alignment horizontal="center"/>
    </xf>
    <xf numFmtId="0" fontId="5" fillId="14" borderId="28" xfId="0" applyFont="1" applyFill="1" applyBorder="1"/>
    <xf numFmtId="164" fontId="7" fillId="14" borderId="29" xfId="0" applyNumberFormat="1" applyFont="1" applyFill="1" applyBorder="1"/>
    <xf numFmtId="4" fontId="5" fillId="14" borderId="30" xfId="0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164" fontId="5" fillId="15" borderId="6" xfId="0" applyNumberFormat="1" applyFont="1" applyFill="1" applyBorder="1" applyAlignment="1">
      <alignment horizontal="center"/>
    </xf>
    <xf numFmtId="0" fontId="5" fillId="14" borderId="31" xfId="0" applyFont="1" applyFill="1" applyBorder="1"/>
    <xf numFmtId="164" fontId="7" fillId="14" borderId="2" xfId="0" applyNumberFormat="1" applyFont="1" applyFill="1" applyBorder="1"/>
    <xf numFmtId="4" fontId="5" fillId="14" borderId="3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/>
    <xf numFmtId="4" fontId="5" fillId="0" borderId="0" xfId="0" applyNumberFormat="1" applyFont="1" applyAlignment="1">
      <alignment horizontal="center"/>
    </xf>
    <xf numFmtId="0" fontId="5" fillId="14" borderId="33" xfId="0" applyFont="1" applyFill="1" applyBorder="1"/>
    <xf numFmtId="164" fontId="7" fillId="14" borderId="34" xfId="0" applyNumberFormat="1" applyFont="1" applyFill="1" applyBorder="1"/>
    <xf numFmtId="3" fontId="5" fillId="14" borderId="35" xfId="0" applyNumberFormat="1" applyFont="1" applyFill="1" applyBorder="1" applyAlignment="1">
      <alignment horizontal="center"/>
    </xf>
    <xf numFmtId="4" fontId="8" fillId="3" borderId="14" xfId="0" applyNumberFormat="1" applyFont="1" applyFill="1" applyBorder="1"/>
    <xf numFmtId="4" fontId="8" fillId="3" borderId="16" xfId="0" applyNumberFormat="1" applyFont="1" applyFill="1" applyBorder="1"/>
    <xf numFmtId="0" fontId="14" fillId="0" borderId="0" xfId="0" applyFont="1"/>
    <xf numFmtId="164" fontId="7" fillId="0" borderId="0" xfId="0" applyNumberFormat="1" applyFont="1"/>
    <xf numFmtId="4" fontId="8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28" xfId="0" applyFont="1" applyBorder="1"/>
    <xf numFmtId="4" fontId="7" fillId="0" borderId="30" xfId="0" applyNumberFormat="1" applyFont="1" applyBorder="1"/>
    <xf numFmtId="164" fontId="2" fillId="0" borderId="31" xfId="0" applyNumberFormat="1" applyFont="1" applyBorder="1"/>
    <xf numFmtId="4" fontId="0" fillId="0" borderId="32" xfId="0" applyNumberFormat="1" applyBorder="1"/>
    <xf numFmtId="0" fontId="2" fillId="0" borderId="31" xfId="0" applyFont="1" applyBorder="1"/>
    <xf numFmtId="164" fontId="0" fillId="0" borderId="32" xfId="0" applyNumberFormat="1" applyBorder="1"/>
    <xf numFmtId="164" fontId="0" fillId="16" borderId="14" xfId="0" applyNumberFormat="1" applyFill="1" applyBorder="1"/>
    <xf numFmtId="4" fontId="0" fillId="16" borderId="16" xfId="0" applyNumberFormat="1" applyFill="1" applyBorder="1"/>
    <xf numFmtId="164" fontId="0" fillId="17" borderId="0" xfId="0" applyNumberFormat="1" applyFill="1"/>
    <xf numFmtId="2" fontId="0" fillId="17" borderId="0" xfId="0" applyNumberFormat="1" applyFill="1" applyAlignment="1">
      <alignment horizontal="right"/>
    </xf>
    <xf numFmtId="0" fontId="0" fillId="18" borderId="2" xfId="0" applyFill="1" applyBorder="1"/>
    <xf numFmtId="164" fontId="3" fillId="0" borderId="0" xfId="0" applyNumberFormat="1" applyFont="1" applyFill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5" fillId="6" borderId="1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1" fontId="2" fillId="8" borderId="14" xfId="0" applyNumberFormat="1" applyFont="1" applyFill="1" applyBorder="1" applyAlignment="1">
      <alignment horizontal="center"/>
    </xf>
    <xf numFmtId="1" fontId="2" fillId="8" borderId="16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3CD2-B91E-4B72-B23D-47B085FFE0F4}">
  <dimension ref="A1:W74"/>
  <sheetViews>
    <sheetView tabSelected="1" zoomScaleNormal="100" workbookViewId="0">
      <selection activeCell="C7" sqref="C7"/>
    </sheetView>
  </sheetViews>
  <sheetFormatPr defaultRowHeight="15" x14ac:dyDescent="0.25"/>
  <cols>
    <col min="1" max="1" width="14.5703125" customWidth="1"/>
    <col min="2" max="2" width="35.28515625" customWidth="1"/>
    <col min="3" max="3" width="21.7109375" customWidth="1"/>
    <col min="4" max="4" width="22.140625" customWidth="1"/>
    <col min="5" max="5" width="15.42578125" bestFit="1" customWidth="1"/>
    <col min="6" max="6" width="11.5703125" bestFit="1" customWidth="1"/>
    <col min="7" max="7" width="2.85546875" customWidth="1"/>
    <col min="8" max="8" width="3.42578125" customWidth="1"/>
    <col min="9" max="9" width="14.85546875" bestFit="1" customWidth="1"/>
    <col min="10" max="10" width="30.7109375" bestFit="1" customWidth="1"/>
    <col min="11" max="11" width="18.140625" bestFit="1" customWidth="1"/>
    <col min="12" max="12" width="15.42578125" customWidth="1"/>
    <col min="13" max="14" width="10.140625" bestFit="1" customWidth="1"/>
    <col min="15" max="15" width="13.85546875" customWidth="1"/>
    <col min="16" max="16" width="17" customWidth="1"/>
    <col min="17" max="17" width="18" bestFit="1" customWidth="1"/>
    <col min="18" max="18" width="25" bestFit="1" customWidth="1"/>
    <col min="19" max="19" width="13.42578125" bestFit="1" customWidth="1"/>
    <col min="20" max="20" width="13.140625" customWidth="1"/>
  </cols>
  <sheetData>
    <row r="1" spans="1:23" ht="18.75" x14ac:dyDescent="0.3">
      <c r="B1" s="171" t="s">
        <v>129</v>
      </c>
      <c r="C1" s="171"/>
      <c r="D1" s="171"/>
      <c r="E1" s="171"/>
      <c r="F1" s="171"/>
      <c r="J1" s="171" t="s">
        <v>130</v>
      </c>
      <c r="K1" s="171"/>
      <c r="P1" s="171" t="s">
        <v>131</v>
      </c>
      <c r="Q1" s="171"/>
      <c r="R1" s="171"/>
      <c r="S1" s="171"/>
      <c r="T1" s="171"/>
    </row>
    <row r="2" spans="1:23" ht="15.75" thickBot="1" x14ac:dyDescent="0.3">
      <c r="A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I2" s="2"/>
      <c r="J2" s="1" t="s">
        <v>6</v>
      </c>
      <c r="K2" s="1" t="s">
        <v>7</v>
      </c>
      <c r="L2" s="3"/>
      <c r="O2" s="4" t="s">
        <v>8</v>
      </c>
      <c r="P2" s="1" t="s">
        <v>9</v>
      </c>
      <c r="Q2" s="1" t="s">
        <v>2</v>
      </c>
      <c r="R2" s="1" t="s">
        <v>3</v>
      </c>
      <c r="S2" s="1" t="s">
        <v>4</v>
      </c>
      <c r="T2" s="1" t="s">
        <v>5</v>
      </c>
    </row>
    <row r="3" spans="1:23" ht="15.75" thickBot="1" x14ac:dyDescent="0.3">
      <c r="A3" s="5" t="s">
        <v>10</v>
      </c>
      <c r="B3" s="6" t="s">
        <v>11</v>
      </c>
      <c r="C3" s="7">
        <f>C4+C5+C6+C7+C8+C9+C10+C11+C12+C13+C16+C14</f>
        <v>229464.68</v>
      </c>
      <c r="D3" s="8" t="s">
        <v>12</v>
      </c>
      <c r="E3" s="7">
        <f>E4+E5+E6+E7</f>
        <v>68663.94</v>
      </c>
      <c r="F3" s="9"/>
      <c r="I3" s="5" t="s">
        <v>10</v>
      </c>
      <c r="J3" s="10" t="s">
        <v>6</v>
      </c>
      <c r="K3" s="11">
        <f>K4+K5+K6+K7+K8+K9+K10+K11+K12+K13</f>
        <v>18810.55</v>
      </c>
      <c r="L3" s="12">
        <v>3637</v>
      </c>
      <c r="O3" s="12">
        <v>3637</v>
      </c>
      <c r="P3" s="13" t="s">
        <v>13</v>
      </c>
      <c r="Q3" s="14">
        <f>257.19+5426.03+214645.25</f>
        <v>220328.47</v>
      </c>
      <c r="R3" s="15" t="s">
        <v>14</v>
      </c>
      <c r="S3" s="16">
        <v>628.84</v>
      </c>
      <c r="T3" s="17">
        <v>3639</v>
      </c>
    </row>
    <row r="4" spans="1:23" ht="15.75" thickBot="1" x14ac:dyDescent="0.3">
      <c r="A4" s="18" t="s">
        <v>15</v>
      </c>
      <c r="B4" s="19"/>
      <c r="C4" s="20">
        <v>229464.68</v>
      </c>
      <c r="D4" s="21" t="s">
        <v>16</v>
      </c>
      <c r="E4" s="20">
        <f>68663.94-22993.63</f>
        <v>45670.31</v>
      </c>
      <c r="F4" s="17">
        <v>3713</v>
      </c>
      <c r="I4" s="18" t="s">
        <v>15</v>
      </c>
      <c r="J4" s="22" t="s">
        <v>133</v>
      </c>
      <c r="K4" s="14">
        <v>18810.55</v>
      </c>
      <c r="L4" s="3" t="s">
        <v>18</v>
      </c>
      <c r="O4" s="23" t="s">
        <v>18</v>
      </c>
      <c r="P4" s="13" t="s">
        <v>19</v>
      </c>
      <c r="Q4" s="14">
        <f>38841.37-257.19</f>
        <v>38584.18</v>
      </c>
      <c r="R4" s="15" t="s">
        <v>20</v>
      </c>
      <c r="S4" s="16">
        <v>211.38</v>
      </c>
      <c r="T4" s="17">
        <v>3639</v>
      </c>
    </row>
    <row r="5" spans="1:23" x14ac:dyDescent="0.25">
      <c r="A5" s="2" t="s">
        <v>0</v>
      </c>
      <c r="B5" s="24"/>
      <c r="C5" s="20"/>
      <c r="D5" s="15" t="s">
        <v>21</v>
      </c>
      <c r="E5" s="20">
        <v>4183.45</v>
      </c>
      <c r="F5" s="17">
        <v>3712</v>
      </c>
      <c r="I5" s="2"/>
      <c r="J5" s="25" t="s">
        <v>22</v>
      </c>
      <c r="K5" s="14"/>
      <c r="L5" s="3"/>
      <c r="O5" s="26" t="s">
        <v>0</v>
      </c>
      <c r="P5" s="15" t="s">
        <v>23</v>
      </c>
      <c r="Q5" s="14"/>
      <c r="R5" s="15" t="s">
        <v>24</v>
      </c>
      <c r="S5" s="16">
        <v>275.82</v>
      </c>
      <c r="T5" s="17">
        <v>3639</v>
      </c>
    </row>
    <row r="6" spans="1:23" x14ac:dyDescent="0.25">
      <c r="A6" s="2"/>
      <c r="B6" s="24"/>
      <c r="C6" s="20"/>
      <c r="D6" s="15" t="s">
        <v>25</v>
      </c>
      <c r="E6" s="20">
        <v>18810.18</v>
      </c>
      <c r="F6" s="17">
        <v>3713</v>
      </c>
      <c r="I6" s="2"/>
      <c r="J6" s="25"/>
      <c r="K6" s="27"/>
      <c r="L6" s="3" t="s">
        <v>26</v>
      </c>
      <c r="O6" s="26" t="s">
        <v>0</v>
      </c>
      <c r="P6" s="15" t="s">
        <v>27</v>
      </c>
      <c r="Q6" s="14"/>
      <c r="R6" s="15" t="s">
        <v>28</v>
      </c>
      <c r="S6" s="16">
        <v>596.42999999999995</v>
      </c>
      <c r="T6" s="17">
        <v>3639</v>
      </c>
      <c r="U6" s="2"/>
      <c r="V6" s="2"/>
      <c r="W6" s="2"/>
    </row>
    <row r="7" spans="1:23" x14ac:dyDescent="0.25">
      <c r="B7" s="24"/>
      <c r="C7" s="20">
        <v>0</v>
      </c>
      <c r="D7" s="15" t="s">
        <v>29</v>
      </c>
      <c r="E7" s="20">
        <v>0</v>
      </c>
      <c r="F7" s="17"/>
      <c r="J7" s="25"/>
      <c r="K7" s="14"/>
      <c r="L7" s="3"/>
      <c r="O7" s="2" t="s">
        <v>0</v>
      </c>
      <c r="P7" s="15"/>
      <c r="Q7" s="14"/>
      <c r="R7" s="15" t="s">
        <v>30</v>
      </c>
      <c r="S7" s="16">
        <v>31551.3</v>
      </c>
      <c r="T7" s="17">
        <v>3639</v>
      </c>
    </row>
    <row r="8" spans="1:23" x14ac:dyDescent="0.25">
      <c r="A8" s="2"/>
      <c r="B8" s="24"/>
      <c r="C8" s="20"/>
      <c r="D8" s="15"/>
      <c r="E8" s="20"/>
      <c r="F8" s="28"/>
      <c r="I8" s="2"/>
      <c r="J8" s="25"/>
      <c r="K8" s="14"/>
      <c r="L8" s="29"/>
      <c r="P8" s="15"/>
      <c r="Q8" s="14"/>
      <c r="R8" s="15" t="s">
        <v>31</v>
      </c>
      <c r="S8" s="16">
        <v>2979.76</v>
      </c>
      <c r="T8" s="17">
        <v>3639</v>
      </c>
    </row>
    <row r="9" spans="1:23" x14ac:dyDescent="0.25">
      <c r="A9" s="2"/>
      <c r="B9" s="24"/>
      <c r="C9" s="20"/>
      <c r="D9" s="15"/>
      <c r="E9" s="20"/>
      <c r="F9" s="17"/>
      <c r="I9" s="2"/>
      <c r="J9" s="25"/>
      <c r="K9" s="14"/>
      <c r="L9" s="29"/>
      <c r="O9" s="4" t="s">
        <v>0</v>
      </c>
      <c r="P9" s="15"/>
      <c r="Q9" s="14"/>
      <c r="R9" s="15" t="s">
        <v>32</v>
      </c>
      <c r="S9" s="16">
        <v>11719.67</v>
      </c>
      <c r="T9" s="17">
        <v>3639</v>
      </c>
    </row>
    <row r="10" spans="1:23" x14ac:dyDescent="0.25">
      <c r="A10" s="2"/>
      <c r="B10" s="30"/>
      <c r="C10" s="20"/>
      <c r="D10" s="15"/>
      <c r="E10" s="20"/>
      <c r="F10" s="17"/>
      <c r="I10" s="2"/>
      <c r="J10" s="25"/>
      <c r="K10" s="14"/>
      <c r="L10" s="3"/>
      <c r="P10" s="15"/>
      <c r="Q10" s="14"/>
      <c r="R10" s="15" t="s">
        <v>33</v>
      </c>
      <c r="S10" s="16">
        <v>560.66999999999996</v>
      </c>
      <c r="T10" s="17">
        <v>3639</v>
      </c>
    </row>
    <row r="11" spans="1:23" x14ac:dyDescent="0.25">
      <c r="A11" s="2"/>
      <c r="B11" s="31"/>
      <c r="C11" s="20"/>
      <c r="D11" s="15"/>
      <c r="E11" s="20"/>
      <c r="F11" s="17"/>
      <c r="H11" s="32"/>
      <c r="I11" s="2"/>
      <c r="J11" s="25"/>
      <c r="K11" s="14"/>
      <c r="L11" s="3"/>
      <c r="P11" s="15"/>
      <c r="Q11" s="14"/>
      <c r="R11" s="15" t="s">
        <v>34</v>
      </c>
      <c r="S11" s="16">
        <v>6409.27</v>
      </c>
      <c r="T11" s="33">
        <v>3712</v>
      </c>
    </row>
    <row r="12" spans="1:23" x14ac:dyDescent="0.25">
      <c r="A12" s="2"/>
      <c r="B12" s="34"/>
      <c r="C12" s="20"/>
      <c r="D12" s="21"/>
      <c r="E12" s="20"/>
      <c r="F12" s="17"/>
      <c r="H12" s="32"/>
      <c r="I12" s="32"/>
      <c r="J12" s="25"/>
      <c r="K12" s="14"/>
      <c r="L12" s="3"/>
      <c r="P12" s="15"/>
      <c r="Q12" s="14"/>
      <c r="R12" s="15" t="s">
        <v>25</v>
      </c>
      <c r="S12" s="16">
        <v>659.4</v>
      </c>
      <c r="T12" s="33">
        <v>3637</v>
      </c>
    </row>
    <row r="13" spans="1:23" ht="15.75" thickBot="1" x14ac:dyDescent="0.3">
      <c r="A13" s="2"/>
      <c r="B13" s="24"/>
      <c r="C13" s="20"/>
      <c r="D13" s="15" t="s">
        <v>0</v>
      </c>
      <c r="E13" s="20">
        <v>0</v>
      </c>
      <c r="F13" s="17"/>
      <c r="J13" s="25"/>
      <c r="K13" s="14"/>
      <c r="O13" s="35"/>
      <c r="P13" s="15"/>
      <c r="Q13" s="14"/>
      <c r="R13" s="165" t="s">
        <v>132</v>
      </c>
      <c r="S13" s="16">
        <v>622.69000000000005</v>
      </c>
      <c r="T13" s="28"/>
    </row>
    <row r="14" spans="1:23" ht="15.75" thickBot="1" x14ac:dyDescent="0.3">
      <c r="A14" s="2"/>
      <c r="B14" s="36"/>
      <c r="C14" s="20"/>
      <c r="D14" s="15"/>
      <c r="E14" s="20"/>
      <c r="F14" s="17"/>
      <c r="I14" s="37" t="s">
        <v>35</v>
      </c>
      <c r="J14" s="10" t="s">
        <v>36</v>
      </c>
      <c r="K14" s="11">
        <f>SUM(K15:K19)</f>
        <v>20455.28</v>
      </c>
      <c r="L14" s="12">
        <v>3637</v>
      </c>
      <c r="P14" s="15"/>
      <c r="Q14" s="14"/>
      <c r="R14" s="15"/>
      <c r="S14" s="16"/>
      <c r="T14" s="17"/>
    </row>
    <row r="15" spans="1:23" ht="15.75" thickBot="1" x14ac:dyDescent="0.3">
      <c r="A15" s="2"/>
      <c r="B15" s="24"/>
      <c r="C15" s="20"/>
      <c r="D15" s="15"/>
      <c r="E15" s="20"/>
      <c r="F15" s="17"/>
      <c r="I15" s="38" t="s">
        <v>37</v>
      </c>
      <c r="J15" s="22" t="s">
        <v>17</v>
      </c>
      <c r="K15" s="14">
        <v>20455.28</v>
      </c>
      <c r="L15" s="3" t="s">
        <v>18</v>
      </c>
      <c r="P15" s="15"/>
      <c r="Q15" s="14">
        <v>0</v>
      </c>
      <c r="R15" s="15"/>
      <c r="S15" s="16"/>
      <c r="T15" s="17"/>
    </row>
    <row r="16" spans="1:23" ht="15.75" thickBot="1" x14ac:dyDescent="0.3">
      <c r="A16" s="2" t="s">
        <v>0</v>
      </c>
      <c r="B16" s="39" t="s">
        <v>38</v>
      </c>
      <c r="C16" s="40"/>
      <c r="D16" s="15"/>
      <c r="E16" s="20"/>
      <c r="F16" s="17"/>
      <c r="H16" s="41"/>
      <c r="I16" s="2"/>
      <c r="J16" s="25"/>
      <c r="K16" s="14"/>
      <c r="L16" s="3"/>
      <c r="P16" s="42" t="s">
        <v>39</v>
      </c>
      <c r="Q16" s="43">
        <f>SUM(Q3:Q15)</f>
        <v>258912.65</v>
      </c>
      <c r="R16" s="44" t="s">
        <v>39</v>
      </c>
      <c r="S16" s="45">
        <f>SUM(S3:S15)</f>
        <v>56215.23</v>
      </c>
      <c r="T16" s="46"/>
    </row>
    <row r="17" spans="1:20" x14ac:dyDescent="0.25">
      <c r="A17" s="5" t="s">
        <v>40</v>
      </c>
      <c r="B17" s="6" t="s">
        <v>41</v>
      </c>
      <c r="C17" s="7">
        <f>C18</f>
        <v>63137.18</v>
      </c>
      <c r="D17" s="8" t="s">
        <v>42</v>
      </c>
      <c r="E17" s="47">
        <f>E18+E19+E20</f>
        <v>29678.82</v>
      </c>
      <c r="F17" s="48"/>
      <c r="J17" s="25"/>
      <c r="K17" s="14"/>
      <c r="L17" s="3"/>
      <c r="P17" s="49" t="s">
        <v>43</v>
      </c>
      <c r="Q17" s="50"/>
      <c r="R17" s="51" t="s">
        <v>44</v>
      </c>
      <c r="S17" s="52">
        <f>S3+S4+S5+S6+S7+S8+S9+S10</f>
        <v>48523.869999999995</v>
      </c>
      <c r="T17" s="53" t="s">
        <v>45</v>
      </c>
    </row>
    <row r="18" spans="1:20" ht="15.75" thickBot="1" x14ac:dyDescent="0.3">
      <c r="A18" s="18" t="s">
        <v>46</v>
      </c>
      <c r="B18" s="54"/>
      <c r="C18" s="20">
        <v>63137.18</v>
      </c>
      <c r="D18" s="15" t="s">
        <v>16</v>
      </c>
      <c r="E18" s="20">
        <f>29678.82-6760.64</f>
        <v>22918.18</v>
      </c>
      <c r="F18" s="17">
        <v>3713</v>
      </c>
      <c r="I18" s="2"/>
      <c r="J18" s="25"/>
      <c r="K18" s="14"/>
      <c r="L18" s="3"/>
      <c r="O18" s="172" t="s">
        <v>47</v>
      </c>
      <c r="P18" s="172"/>
      <c r="Q18" s="55"/>
      <c r="R18" s="56" t="s">
        <v>48</v>
      </c>
      <c r="S18" s="52">
        <f>S11</f>
        <v>6409.27</v>
      </c>
      <c r="T18" s="53" t="s">
        <v>49</v>
      </c>
    </row>
    <row r="19" spans="1:20" ht="18" thickBot="1" x14ac:dyDescent="0.35">
      <c r="A19" s="2"/>
      <c r="B19" s="25"/>
      <c r="C19" s="20" t="s">
        <v>50</v>
      </c>
      <c r="D19" s="15" t="s">
        <v>34</v>
      </c>
      <c r="E19" s="20">
        <v>132.85</v>
      </c>
      <c r="F19" s="17">
        <v>3712</v>
      </c>
      <c r="I19" s="2"/>
      <c r="J19" s="25"/>
      <c r="K19" s="14"/>
      <c r="L19" s="3"/>
      <c r="O19" s="57"/>
      <c r="P19" s="58" t="s">
        <v>51</v>
      </c>
      <c r="Q19" s="59">
        <f>Q16+Q17+Q18</f>
        <v>258912.65</v>
      </c>
      <c r="R19" s="60" t="s">
        <v>52</v>
      </c>
      <c r="S19" s="61">
        <f>S12</f>
        <v>659.4</v>
      </c>
      <c r="T19" s="62" t="s">
        <v>53</v>
      </c>
    </row>
    <row r="20" spans="1:20" ht="15.75" thickBot="1" x14ac:dyDescent="0.3">
      <c r="B20" s="25"/>
      <c r="C20" s="20"/>
      <c r="D20" s="15" t="s">
        <v>54</v>
      </c>
      <c r="E20" s="20">
        <v>6627.79</v>
      </c>
      <c r="F20" s="17">
        <v>3713</v>
      </c>
      <c r="I20" s="63" t="s">
        <v>55</v>
      </c>
      <c r="J20" s="64" t="s">
        <v>56</v>
      </c>
      <c r="K20" s="11">
        <f>K21</f>
        <v>10780.33</v>
      </c>
      <c r="L20" s="65">
        <v>3637</v>
      </c>
      <c r="O20" s="66"/>
      <c r="P20" s="67" t="s">
        <v>57</v>
      </c>
      <c r="Q20" s="68">
        <f>Q19-S16-Q18</f>
        <v>202697.41999999998</v>
      </c>
      <c r="R20" s="173" t="s">
        <v>58</v>
      </c>
      <c r="S20" s="174"/>
      <c r="T20" s="175"/>
    </row>
    <row r="21" spans="1:20" ht="15.75" thickBot="1" x14ac:dyDescent="0.3">
      <c r="A21" s="2" t="s">
        <v>59</v>
      </c>
      <c r="B21" s="69" t="s">
        <v>60</v>
      </c>
      <c r="C21" s="70">
        <f>C22</f>
        <v>0</v>
      </c>
      <c r="D21" s="71" t="s">
        <v>60</v>
      </c>
      <c r="E21" s="70">
        <f>E22+E23+E24</f>
        <v>0</v>
      </c>
      <c r="F21" s="48"/>
      <c r="I21" s="72" t="s">
        <v>46</v>
      </c>
      <c r="J21" s="73" t="s">
        <v>17</v>
      </c>
      <c r="K21" s="74">
        <v>10780.33</v>
      </c>
      <c r="L21" s="3"/>
      <c r="P21" s="57"/>
      <c r="Q21" s="57"/>
      <c r="R21" s="57"/>
      <c r="S21" s="75"/>
      <c r="T21" s="76"/>
    </row>
    <row r="22" spans="1:20" ht="15.75" thickBot="1" x14ac:dyDescent="0.3">
      <c r="A22" s="2"/>
      <c r="B22" s="25"/>
      <c r="C22" s="20"/>
      <c r="D22" s="15" t="s">
        <v>16</v>
      </c>
      <c r="E22" s="20"/>
      <c r="F22" s="28"/>
      <c r="I22" s="77" t="s">
        <v>61</v>
      </c>
      <c r="J22" s="10" t="s">
        <v>62</v>
      </c>
      <c r="K22" s="78">
        <f>K23</f>
        <v>29357.09</v>
      </c>
      <c r="L22" s="12">
        <v>3637</v>
      </c>
      <c r="M22" s="41" t="s">
        <v>0</v>
      </c>
      <c r="Q22" s="79" t="s">
        <v>63</v>
      </c>
      <c r="R22" s="79"/>
      <c r="S22" s="80">
        <f>S11</f>
        <v>6409.27</v>
      </c>
      <c r="T22" s="41"/>
    </row>
    <row r="23" spans="1:20" ht="15.75" thickBot="1" x14ac:dyDescent="0.3">
      <c r="A23" s="2"/>
      <c r="B23" s="25"/>
      <c r="C23" s="20"/>
      <c r="D23" s="15" t="s">
        <v>34</v>
      </c>
      <c r="E23" s="20"/>
      <c r="F23" s="28"/>
      <c r="I23" s="60" t="s">
        <v>64</v>
      </c>
      <c r="J23" s="22" t="s">
        <v>17</v>
      </c>
      <c r="K23" s="14">
        <v>29357.09</v>
      </c>
      <c r="L23" s="3" t="s">
        <v>18</v>
      </c>
      <c r="P23" s="2"/>
      <c r="Q23" s="2"/>
      <c r="R23" s="2"/>
    </row>
    <row r="24" spans="1:20" ht="15" customHeight="1" thickBot="1" x14ac:dyDescent="0.3">
      <c r="A24" s="2" t="s">
        <v>0</v>
      </c>
      <c r="B24" s="25"/>
      <c r="C24" s="20"/>
      <c r="D24" s="15" t="s">
        <v>65</v>
      </c>
      <c r="E24" s="20"/>
      <c r="F24" s="17"/>
      <c r="I24" s="81" t="s">
        <v>66</v>
      </c>
      <c r="J24" s="82" t="s">
        <v>67</v>
      </c>
      <c r="K24" s="11">
        <f>K25</f>
        <v>0</v>
      </c>
      <c r="L24" s="12">
        <v>3637</v>
      </c>
    </row>
    <row r="25" spans="1:20" ht="15.75" thickBot="1" x14ac:dyDescent="0.3">
      <c r="A25" s="5" t="s">
        <v>68</v>
      </c>
      <c r="B25" s="6" t="s">
        <v>69</v>
      </c>
      <c r="C25" s="7">
        <f>C26+C27+C28</f>
        <v>257074.98</v>
      </c>
      <c r="D25" s="8" t="s">
        <v>70</v>
      </c>
      <c r="E25" s="47">
        <f>SUM(E26:E29)</f>
        <v>138749.32999999999</v>
      </c>
      <c r="F25" s="48"/>
      <c r="I25" s="83" t="s">
        <v>71</v>
      </c>
      <c r="J25" s="25"/>
      <c r="K25" s="14"/>
      <c r="L25" s="2" t="s">
        <v>18</v>
      </c>
      <c r="O25" s="84"/>
      <c r="P25" s="84"/>
      <c r="Q25" s="84"/>
      <c r="R25" s="84"/>
      <c r="S25" s="84"/>
      <c r="T25" s="84"/>
    </row>
    <row r="26" spans="1:20" ht="15.75" thickBot="1" x14ac:dyDescent="0.3">
      <c r="A26" s="18" t="s">
        <v>72</v>
      </c>
      <c r="B26" s="54"/>
      <c r="C26" s="20">
        <v>257074.98</v>
      </c>
      <c r="D26" s="15" t="s">
        <v>16</v>
      </c>
      <c r="E26" s="20">
        <f>138749.33-29013.32</f>
        <v>109736.00999999998</v>
      </c>
      <c r="F26" s="17">
        <v>3713</v>
      </c>
      <c r="I26" s="85" t="s">
        <v>73</v>
      </c>
      <c r="J26" s="86" t="s">
        <v>74</v>
      </c>
      <c r="K26" s="87">
        <v>0</v>
      </c>
      <c r="L26" s="12">
        <v>3637</v>
      </c>
      <c r="N26" s="41"/>
      <c r="O26" s="84"/>
      <c r="P26" s="88"/>
      <c r="Q26" s="88">
        <f>K34+K35+K49</f>
        <v>159464.81</v>
      </c>
      <c r="R26" s="88">
        <f>Q26-Q16</f>
        <v>-99447.84</v>
      </c>
      <c r="S26" s="84"/>
      <c r="T26" s="84"/>
    </row>
    <row r="27" spans="1:20" ht="15.75" thickBot="1" x14ac:dyDescent="0.3">
      <c r="B27" s="25"/>
      <c r="C27" s="21"/>
      <c r="D27" s="15" t="s">
        <v>34</v>
      </c>
      <c r="E27" s="20">
        <v>4405.8500000000004</v>
      </c>
      <c r="F27" s="17">
        <v>3712</v>
      </c>
      <c r="I27" s="18" t="s">
        <v>75</v>
      </c>
      <c r="J27" s="22" t="s">
        <v>17</v>
      </c>
      <c r="K27" s="14"/>
      <c r="L27" s="3" t="s">
        <v>18</v>
      </c>
      <c r="R27" s="41"/>
    </row>
    <row r="28" spans="1:20" x14ac:dyDescent="0.25">
      <c r="A28" s="2" t="s">
        <v>0</v>
      </c>
      <c r="B28" s="25"/>
      <c r="C28" s="21"/>
      <c r="D28" s="15" t="s">
        <v>54</v>
      </c>
      <c r="E28" s="20">
        <v>24607.47</v>
      </c>
      <c r="F28" s="17">
        <v>3713</v>
      </c>
      <c r="J28" s="25"/>
      <c r="K28" s="14"/>
      <c r="Q28" s="41">
        <f>K33+K34+K35+K47+K48+K49</f>
        <v>318765.61</v>
      </c>
      <c r="R28" s="41">
        <f>Q28-Q16</f>
        <v>59852.959999999992</v>
      </c>
    </row>
    <row r="29" spans="1:20" ht="15.75" thickBot="1" x14ac:dyDescent="0.3">
      <c r="A29" s="2"/>
      <c r="B29" s="54"/>
      <c r="C29" s="21"/>
      <c r="D29" s="15" t="s">
        <v>29</v>
      </c>
      <c r="E29" s="20"/>
      <c r="F29" s="17"/>
      <c r="J29" s="54"/>
      <c r="K29" s="89"/>
    </row>
    <row r="30" spans="1:20" ht="15.75" thickBot="1" x14ac:dyDescent="0.3">
      <c r="A30" s="5" t="s">
        <v>76</v>
      </c>
      <c r="B30" s="6" t="s">
        <v>77</v>
      </c>
      <c r="C30" s="7">
        <f>C31+C32+C33</f>
        <v>280035.88</v>
      </c>
      <c r="D30" s="8" t="s">
        <v>78</v>
      </c>
      <c r="E30" s="7">
        <f>SUM(E31:E34)</f>
        <v>95871.96</v>
      </c>
      <c r="F30" s="48"/>
      <c r="I30" s="5" t="s">
        <v>79</v>
      </c>
      <c r="J30" s="90" t="s">
        <v>80</v>
      </c>
      <c r="K30" s="11">
        <f>K31</f>
        <v>0</v>
      </c>
      <c r="L30" s="12">
        <v>3637</v>
      </c>
    </row>
    <row r="31" spans="1:20" ht="15.75" thickBot="1" x14ac:dyDescent="0.3">
      <c r="A31" s="18" t="s">
        <v>64</v>
      </c>
      <c r="B31" s="91"/>
      <c r="C31" s="20">
        <v>280035.88</v>
      </c>
      <c r="D31" s="15" t="s">
        <v>16</v>
      </c>
      <c r="E31" s="20">
        <f>95871.96-40166.28</f>
        <v>55705.680000000008</v>
      </c>
      <c r="F31" s="17">
        <v>3713</v>
      </c>
      <c r="I31" s="18" t="s">
        <v>81</v>
      </c>
      <c r="J31" s="22" t="s">
        <v>17</v>
      </c>
      <c r="K31" s="14"/>
      <c r="L31" s="3" t="s">
        <v>18</v>
      </c>
    </row>
    <row r="32" spans="1:20" ht="15.75" thickBot="1" x14ac:dyDescent="0.3">
      <c r="B32" s="25"/>
      <c r="C32" s="20"/>
      <c r="D32" s="15" t="s">
        <v>82</v>
      </c>
      <c r="E32" s="20">
        <v>12631.48</v>
      </c>
      <c r="F32" s="17">
        <v>3712</v>
      </c>
      <c r="J32" s="92"/>
      <c r="K32" s="93"/>
    </row>
    <row r="33" spans="1:18" ht="15.75" thickBot="1" x14ac:dyDescent="0.3">
      <c r="A33" s="2"/>
      <c r="B33" s="94"/>
      <c r="C33" s="40"/>
      <c r="D33" s="15" t="s">
        <v>25</v>
      </c>
      <c r="E33" s="20">
        <v>27534.799999999999</v>
      </c>
      <c r="F33" s="17">
        <v>3713</v>
      </c>
      <c r="H33" t="s">
        <v>0</v>
      </c>
      <c r="I33" s="5" t="s">
        <v>10</v>
      </c>
      <c r="J33" s="95" t="s">
        <v>83</v>
      </c>
      <c r="K33" s="96">
        <f>158952.09-K47-310.69</f>
        <v>157341.43</v>
      </c>
      <c r="L33" s="176">
        <v>339197010000</v>
      </c>
      <c r="M33" s="177"/>
      <c r="N33" s="41"/>
      <c r="O33" s="35"/>
    </row>
    <row r="34" spans="1:18" ht="15.75" thickBot="1" x14ac:dyDescent="0.3">
      <c r="B34" s="25"/>
      <c r="C34" s="20"/>
      <c r="D34" s="15" t="s">
        <v>29</v>
      </c>
      <c r="E34" s="20"/>
      <c r="F34" s="97"/>
      <c r="H34" t="s">
        <v>0</v>
      </c>
      <c r="I34" s="18" t="s">
        <v>15</v>
      </c>
      <c r="J34" s="98" t="s">
        <v>84</v>
      </c>
      <c r="K34" s="99">
        <f>E58</f>
        <v>79402.16</v>
      </c>
      <c r="L34" s="3" t="s">
        <v>18</v>
      </c>
      <c r="O34" s="35"/>
    </row>
    <row r="35" spans="1:18" ht="15.75" thickBot="1" x14ac:dyDescent="0.3">
      <c r="A35" s="5" t="s">
        <v>85</v>
      </c>
      <c r="B35" s="6" t="s">
        <v>86</v>
      </c>
      <c r="C35" s="47">
        <f>C36</f>
        <v>0</v>
      </c>
      <c r="D35" s="8" t="s">
        <v>87</v>
      </c>
      <c r="E35" s="47">
        <f>SUM(E36:E38)</f>
        <v>0</v>
      </c>
      <c r="F35" s="48"/>
      <c r="I35" s="2"/>
      <c r="J35" s="100" t="s">
        <v>88</v>
      </c>
      <c r="K35" s="101">
        <f>K3+K14+K20+K22+K24+K26+K30</f>
        <v>79403.25</v>
      </c>
      <c r="L35" s="3" t="s">
        <v>89</v>
      </c>
      <c r="O35" s="35">
        <f>79403.25-K35</f>
        <v>0</v>
      </c>
      <c r="P35" s="35"/>
    </row>
    <row r="36" spans="1:18" ht="15.75" thickBot="1" x14ac:dyDescent="0.3">
      <c r="A36" s="102" t="s">
        <v>71</v>
      </c>
      <c r="B36" s="54"/>
      <c r="C36" s="40"/>
      <c r="D36" s="15" t="s">
        <v>16</v>
      </c>
      <c r="E36" s="20"/>
      <c r="F36" s="17">
        <v>3713</v>
      </c>
      <c r="I36" s="2"/>
      <c r="J36" s="103"/>
      <c r="K36" s="104">
        <v>0</v>
      </c>
      <c r="L36" s="3"/>
      <c r="P36" s="35"/>
    </row>
    <row r="37" spans="1:18" ht="15.75" thickBot="1" x14ac:dyDescent="0.3">
      <c r="B37" s="25"/>
      <c r="C37" s="20"/>
      <c r="D37" s="15" t="s">
        <v>34</v>
      </c>
      <c r="E37" s="20"/>
      <c r="F37" s="17">
        <v>3712</v>
      </c>
      <c r="I37" s="2"/>
      <c r="J37" s="105"/>
      <c r="K37" s="104">
        <f>K35-K36</f>
        <v>79403.25</v>
      </c>
      <c r="L37" s="3"/>
      <c r="M37" s="41"/>
    </row>
    <row r="38" spans="1:18" ht="15.75" thickBot="1" x14ac:dyDescent="0.3">
      <c r="B38" s="25"/>
      <c r="C38" s="20"/>
      <c r="D38" s="15" t="s">
        <v>54</v>
      </c>
      <c r="E38" s="20"/>
      <c r="F38" s="17">
        <v>3713</v>
      </c>
      <c r="J38" s="106"/>
      <c r="K38" s="104">
        <v>0</v>
      </c>
      <c r="M38" s="41"/>
      <c r="N38" s="41"/>
    </row>
    <row r="39" spans="1:18" ht="15.75" thickBot="1" x14ac:dyDescent="0.3">
      <c r="A39" s="5" t="s">
        <v>90</v>
      </c>
      <c r="B39" s="6" t="s">
        <v>91</v>
      </c>
      <c r="C39" s="47">
        <f>C40</f>
        <v>0</v>
      </c>
      <c r="D39" s="8" t="s">
        <v>92</v>
      </c>
      <c r="E39" s="47">
        <f>SUM(E40:E42)</f>
        <v>0</v>
      </c>
      <c r="F39" s="48"/>
      <c r="J39" s="167" t="s">
        <v>93</v>
      </c>
      <c r="K39" s="168"/>
      <c r="L39" s="3"/>
    </row>
    <row r="40" spans="1:18" ht="15.75" thickBot="1" x14ac:dyDescent="0.3">
      <c r="A40" s="18" t="s">
        <v>94</v>
      </c>
      <c r="B40" s="54"/>
      <c r="C40" s="40"/>
      <c r="D40" s="15" t="s">
        <v>16</v>
      </c>
      <c r="E40" s="40"/>
      <c r="F40" s="17">
        <v>3713</v>
      </c>
      <c r="I40" s="37" t="s">
        <v>35</v>
      </c>
      <c r="J40" s="10" t="s">
        <v>95</v>
      </c>
      <c r="K40" s="107">
        <f>K41</f>
        <v>0</v>
      </c>
      <c r="L40" s="12">
        <v>3637</v>
      </c>
    </row>
    <row r="41" spans="1:18" ht="15.75" thickBot="1" x14ac:dyDescent="0.3">
      <c r="B41" s="25"/>
      <c r="C41" s="20"/>
      <c r="D41" s="15" t="s">
        <v>34</v>
      </c>
      <c r="E41" s="20"/>
      <c r="F41" s="17">
        <v>3712</v>
      </c>
      <c r="I41" s="18" t="s">
        <v>72</v>
      </c>
      <c r="J41" s="54"/>
      <c r="K41" s="14"/>
      <c r="L41" s="3" t="s">
        <v>18</v>
      </c>
    </row>
    <row r="42" spans="1:18" ht="15.75" thickBot="1" x14ac:dyDescent="0.3">
      <c r="A42" s="2" t="s">
        <v>0</v>
      </c>
      <c r="B42" s="25"/>
      <c r="C42" s="20"/>
      <c r="D42" s="15" t="s">
        <v>25</v>
      </c>
      <c r="E42" s="20"/>
      <c r="F42" s="17">
        <v>3713</v>
      </c>
      <c r="J42" s="25"/>
      <c r="K42" s="14"/>
      <c r="L42" s="3"/>
    </row>
    <row r="43" spans="1:18" ht="15.75" thickBot="1" x14ac:dyDescent="0.3">
      <c r="A43" s="51" t="s">
        <v>96</v>
      </c>
      <c r="B43" s="108" t="s">
        <v>97</v>
      </c>
      <c r="C43" s="47">
        <f>C44</f>
        <v>4838.66</v>
      </c>
      <c r="D43" s="109" t="s">
        <v>98</v>
      </c>
      <c r="E43" s="47">
        <f>SUM(E44:E46)</f>
        <v>1722.21</v>
      </c>
      <c r="F43" s="110"/>
      <c r="H43" t="s">
        <v>0</v>
      </c>
      <c r="I43" s="51" t="s">
        <v>99</v>
      </c>
      <c r="J43" s="90" t="s">
        <v>100</v>
      </c>
      <c r="K43" s="107">
        <f>K44</f>
        <v>0</v>
      </c>
      <c r="L43" s="12">
        <v>3637</v>
      </c>
      <c r="Q43" s="111"/>
      <c r="R43" s="111"/>
    </row>
    <row r="44" spans="1:18" ht="15.75" thickBot="1" x14ac:dyDescent="0.3">
      <c r="A44" s="112" t="s">
        <v>101</v>
      </c>
      <c r="B44" s="54"/>
      <c r="C44" s="113">
        <v>4838.66</v>
      </c>
      <c r="D44" s="15" t="s">
        <v>16</v>
      </c>
      <c r="E44" s="20">
        <f>1722.21-617.69</f>
        <v>1104.52</v>
      </c>
      <c r="F44" s="17">
        <v>3713</v>
      </c>
      <c r="I44" s="112" t="s">
        <v>64</v>
      </c>
      <c r="J44" s="54"/>
      <c r="K44" s="14"/>
      <c r="L44" s="3" t="s">
        <v>18</v>
      </c>
    </row>
    <row r="45" spans="1:18" x14ac:dyDescent="0.25">
      <c r="B45" s="25"/>
      <c r="C45" s="113"/>
      <c r="D45" s="15" t="s">
        <v>34</v>
      </c>
      <c r="E45" s="20">
        <v>28.28</v>
      </c>
      <c r="F45" s="17">
        <v>3712</v>
      </c>
      <c r="I45" s="5" t="s">
        <v>40</v>
      </c>
      <c r="J45" s="90" t="s">
        <v>102</v>
      </c>
      <c r="K45" s="107">
        <f>K46</f>
        <v>0</v>
      </c>
      <c r="L45" s="3" t="s">
        <v>0</v>
      </c>
    </row>
    <row r="46" spans="1:18" ht="15.75" thickBot="1" x14ac:dyDescent="0.3">
      <c r="A46" t="s">
        <v>0</v>
      </c>
      <c r="B46" s="25"/>
      <c r="C46" s="113"/>
      <c r="D46" s="15" t="s">
        <v>25</v>
      </c>
      <c r="E46" s="20">
        <v>589.41</v>
      </c>
      <c r="F46" s="97">
        <v>3713</v>
      </c>
      <c r="I46" s="38" t="s">
        <v>46</v>
      </c>
      <c r="J46" s="54" t="s">
        <v>0</v>
      </c>
      <c r="K46" s="93">
        <v>0</v>
      </c>
      <c r="P46" s="41"/>
      <c r="R46" s="114"/>
    </row>
    <row r="47" spans="1:18" ht="15.75" thickBot="1" x14ac:dyDescent="0.3">
      <c r="A47" s="5" t="s">
        <v>79</v>
      </c>
      <c r="B47" s="108" t="s">
        <v>103</v>
      </c>
      <c r="C47" s="47">
        <f>C48+C50</f>
        <v>4021.69</v>
      </c>
      <c r="D47" s="109" t="s">
        <v>104</v>
      </c>
      <c r="E47" s="47">
        <f>E48+E49+E50</f>
        <v>850.53</v>
      </c>
      <c r="F47" s="110"/>
      <c r="I47" s="5" t="s">
        <v>10</v>
      </c>
      <c r="J47" s="95" t="s">
        <v>105</v>
      </c>
      <c r="K47" s="115">
        <v>1299.97</v>
      </c>
      <c r="L47" s="169">
        <v>319113990100</v>
      </c>
      <c r="M47" s="170"/>
      <c r="O47" s="35"/>
      <c r="P47" s="41"/>
      <c r="Q47" s="41"/>
      <c r="R47" s="41"/>
    </row>
    <row r="48" spans="1:18" ht="15.75" thickBot="1" x14ac:dyDescent="0.3">
      <c r="A48" s="18" t="s">
        <v>81</v>
      </c>
      <c r="B48" s="54"/>
      <c r="C48" s="116">
        <v>4021.69</v>
      </c>
      <c r="D48" s="15" t="s">
        <v>16</v>
      </c>
      <c r="E48" s="21">
        <f>850.53-405.03</f>
        <v>445.5</v>
      </c>
      <c r="F48" s="17">
        <v>3713</v>
      </c>
      <c r="G48" s="117"/>
      <c r="H48" s="41"/>
      <c r="I48" s="18" t="s">
        <v>15</v>
      </c>
      <c r="J48" s="98" t="s">
        <v>106</v>
      </c>
      <c r="K48" s="118">
        <f>S12</f>
        <v>659.4</v>
      </c>
      <c r="L48" s="3" t="s">
        <v>18</v>
      </c>
      <c r="O48" s="41"/>
      <c r="P48" s="41"/>
    </row>
    <row r="49" spans="1:16" ht="15.75" thickBot="1" x14ac:dyDescent="0.3">
      <c r="B49" s="25"/>
      <c r="C49" s="113"/>
      <c r="D49" s="15" t="s">
        <v>34</v>
      </c>
      <c r="E49" s="21">
        <v>29.99</v>
      </c>
      <c r="F49" s="17">
        <v>3712</v>
      </c>
      <c r="G49" s="41"/>
      <c r="J49" s="69" t="s">
        <v>107</v>
      </c>
      <c r="K49" s="119">
        <v>659.4</v>
      </c>
      <c r="L49" s="120" t="s">
        <v>18</v>
      </c>
      <c r="O49" s="41"/>
    </row>
    <row r="50" spans="1:16" ht="15.75" thickBot="1" x14ac:dyDescent="0.3">
      <c r="B50" s="25"/>
      <c r="C50" s="113">
        <v>0</v>
      </c>
      <c r="D50" s="15" t="s">
        <v>25</v>
      </c>
      <c r="E50" s="21">
        <v>375.04</v>
      </c>
      <c r="F50" s="17">
        <v>3713</v>
      </c>
      <c r="G50" s="41"/>
      <c r="J50" s="49"/>
      <c r="K50" s="104"/>
      <c r="O50" s="41"/>
    </row>
    <row r="51" spans="1:16" x14ac:dyDescent="0.25">
      <c r="A51" s="5" t="s">
        <v>59</v>
      </c>
      <c r="B51" s="121" t="s">
        <v>108</v>
      </c>
      <c r="C51" s="122">
        <f>C52+C53+C54</f>
        <v>15910.4</v>
      </c>
      <c r="D51" s="123" t="s">
        <v>109</v>
      </c>
      <c r="E51" s="124">
        <f>E54+E53+E52</f>
        <v>2936.53</v>
      </c>
      <c r="F51" s="125"/>
      <c r="G51" s="41"/>
      <c r="I51" s="67"/>
      <c r="J51" s="67" t="s">
        <v>110</v>
      </c>
      <c r="K51" s="104">
        <f>K35+K49</f>
        <v>80062.649999999994</v>
      </c>
      <c r="L51" s="106">
        <f>K51+K52</f>
        <v>238704.05</v>
      </c>
      <c r="O51" s="41"/>
      <c r="P51" s="35"/>
    </row>
    <row r="52" spans="1:16" ht="15.75" thickBot="1" x14ac:dyDescent="0.3">
      <c r="A52" s="38" t="s">
        <v>111</v>
      </c>
      <c r="B52" s="54"/>
      <c r="C52" s="126">
        <v>15910.4</v>
      </c>
      <c r="D52" s="15" t="s">
        <v>16</v>
      </c>
      <c r="E52" s="126">
        <f>2936.53-903.27</f>
        <v>2033.2600000000002</v>
      </c>
      <c r="F52" s="15"/>
      <c r="G52" s="41"/>
      <c r="I52" s="67"/>
      <c r="J52" s="67" t="s">
        <v>112</v>
      </c>
      <c r="K52" s="104">
        <f>K33+K47</f>
        <v>158641.4</v>
      </c>
      <c r="L52" s="106"/>
      <c r="O52" s="35"/>
    </row>
    <row r="53" spans="1:16" x14ac:dyDescent="0.25">
      <c r="B53" s="15"/>
      <c r="C53" s="126"/>
      <c r="D53" s="15" t="s">
        <v>34</v>
      </c>
      <c r="E53" s="126">
        <v>45.8</v>
      </c>
      <c r="F53" s="15"/>
      <c r="G53" s="41"/>
      <c r="I53" s="49"/>
      <c r="J53" s="49" t="s">
        <v>113</v>
      </c>
      <c r="K53" s="104">
        <f>K34+K48</f>
        <v>80061.56</v>
      </c>
      <c r="L53" s="106"/>
    </row>
    <row r="54" spans="1:16" x14ac:dyDescent="0.25">
      <c r="B54" s="15"/>
      <c r="C54" s="126"/>
      <c r="D54" s="15" t="s">
        <v>25</v>
      </c>
      <c r="E54" s="126">
        <v>857.47</v>
      </c>
      <c r="F54" s="15"/>
      <c r="I54" s="127"/>
      <c r="J54" s="127" t="s">
        <v>114</v>
      </c>
      <c r="K54" s="104">
        <f>K51+K52+K53</f>
        <v>318765.61</v>
      </c>
      <c r="L54" s="106"/>
    </row>
    <row r="55" spans="1:16" ht="15.75" thickBot="1" x14ac:dyDescent="0.3">
      <c r="B55" s="42" t="s">
        <v>39</v>
      </c>
      <c r="C55" s="128">
        <f>C3+C17+C25+C30+C35+C39+C47+C51+C43+C21</f>
        <v>854483.47</v>
      </c>
      <c r="D55" s="44" t="s">
        <v>39</v>
      </c>
      <c r="E55" s="129">
        <f>E3+E17+E21+E25+E30+E43+E47+E35+E51</f>
        <v>338473.32000000007</v>
      </c>
      <c r="F55" s="130"/>
      <c r="J55" s="127"/>
      <c r="K55" s="131">
        <f>K54-K53</f>
        <v>238704.05</v>
      </c>
      <c r="L55" s="132" t="s">
        <v>115</v>
      </c>
    </row>
    <row r="56" spans="1:16" ht="15.75" thickBot="1" x14ac:dyDescent="0.3">
      <c r="B56" s="133" t="s">
        <v>116</v>
      </c>
      <c r="C56" s="134">
        <f>C55-E55</f>
        <v>516010.14999999991</v>
      </c>
      <c r="D56" s="135" t="s">
        <v>117</v>
      </c>
      <c r="E56" s="136">
        <f>E4+E18+E22+E26+E31+E44+E48+E36+E52</f>
        <v>237613.46</v>
      </c>
      <c r="F56" s="137" t="s">
        <v>118</v>
      </c>
      <c r="J56" s="2" t="s">
        <v>119</v>
      </c>
      <c r="K56" s="131"/>
    </row>
    <row r="57" spans="1:16" ht="16.5" thickBot="1" x14ac:dyDescent="0.3">
      <c r="A57" s="138"/>
      <c r="B57" s="67" t="s">
        <v>120</v>
      </c>
      <c r="C57" s="139">
        <f>C56+Q18</f>
        <v>516010.14999999991</v>
      </c>
      <c r="D57" s="140" t="s">
        <v>121</v>
      </c>
      <c r="E57" s="141">
        <f>E5+E19+E23+E27+E32+E37+E41+E45+E49+E53</f>
        <v>21457.7</v>
      </c>
      <c r="F57" s="142" t="s">
        <v>49</v>
      </c>
      <c r="K57" s="131"/>
    </row>
    <row r="58" spans="1:16" ht="15.75" thickBot="1" x14ac:dyDescent="0.3">
      <c r="A58" s="143"/>
      <c r="B58" s="144"/>
      <c r="C58" s="145"/>
      <c r="D58" s="146" t="s">
        <v>122</v>
      </c>
      <c r="E58" s="147">
        <f>E6+E20+E24+E28+E33+E50+E54+E46+E42+E38</f>
        <v>79402.16</v>
      </c>
      <c r="F58" s="148" t="s">
        <v>53</v>
      </c>
      <c r="J58" s="41"/>
      <c r="K58" s="149"/>
      <c r="L58" s="150"/>
    </row>
    <row r="59" spans="1:16" ht="15.75" thickBot="1" x14ac:dyDescent="0.3">
      <c r="B59" s="151" t="s">
        <v>123</v>
      </c>
      <c r="C59" s="145"/>
      <c r="D59" s="57"/>
      <c r="E59" s="152"/>
      <c r="F59" s="153"/>
      <c r="J59" s="41"/>
      <c r="K59" s="131"/>
    </row>
    <row r="60" spans="1:16" x14ac:dyDescent="0.25">
      <c r="C60" s="154"/>
      <c r="D60" s="155" t="s">
        <v>124</v>
      </c>
      <c r="E60" s="156">
        <f>C3+K3+K33+K47+K49</f>
        <v>407576.02999999997</v>
      </c>
      <c r="F60" s="153"/>
      <c r="K60" s="131"/>
      <c r="P60" t="s">
        <v>0</v>
      </c>
    </row>
    <row r="61" spans="1:16" x14ac:dyDescent="0.25">
      <c r="B61" s="35">
        <f>D68</f>
        <v>0</v>
      </c>
      <c r="C61" s="106"/>
      <c r="D61" s="157" t="s">
        <v>78</v>
      </c>
      <c r="E61" s="158">
        <f>C30+K22</f>
        <v>309392.97000000003</v>
      </c>
      <c r="F61" s="4"/>
      <c r="K61" s="131"/>
      <c r="P61" t="s">
        <v>0</v>
      </c>
    </row>
    <row r="62" spans="1:16" x14ac:dyDescent="0.25">
      <c r="B62" s="35" t="s">
        <v>125</v>
      </c>
      <c r="C62" s="35">
        <f>E60+E61+E63+E64</f>
        <v>794908.2</v>
      </c>
      <c r="D62" s="159" t="s">
        <v>70</v>
      </c>
      <c r="E62" s="160">
        <f>C25+K14</f>
        <v>277530.26</v>
      </c>
      <c r="I62" s="35"/>
    </row>
    <row r="63" spans="1:16" ht="15.75" thickBot="1" x14ac:dyDescent="0.3">
      <c r="B63" s="35" t="s">
        <v>126</v>
      </c>
      <c r="C63" s="41">
        <f>K33+K47</f>
        <v>158641.4</v>
      </c>
      <c r="D63" s="159" t="s">
        <v>104</v>
      </c>
      <c r="E63" s="160">
        <f>C47+K30</f>
        <v>4021.69</v>
      </c>
    </row>
    <row r="64" spans="1:16" ht="15.75" thickBot="1" x14ac:dyDescent="0.3">
      <c r="B64" s="161" t="s">
        <v>127</v>
      </c>
      <c r="C64" s="162">
        <f>C62-C63</f>
        <v>636266.79999999993</v>
      </c>
      <c r="D64" s="159" t="s">
        <v>42</v>
      </c>
      <c r="E64" s="160">
        <f>C17+K20</f>
        <v>73917.509999999995</v>
      </c>
    </row>
    <row r="65" spans="2:10" x14ac:dyDescent="0.25">
      <c r="B65" s="35"/>
      <c r="C65" s="35"/>
      <c r="D65" s="32"/>
      <c r="E65" s="35"/>
      <c r="I65" s="35"/>
      <c r="J65" s="35"/>
    </row>
    <row r="66" spans="2:10" x14ac:dyDescent="0.25">
      <c r="B66" s="163">
        <f>C35+C39+C51</f>
        <v>15910.4</v>
      </c>
      <c r="C66" s="164" t="s">
        <v>128</v>
      </c>
    </row>
    <row r="68" spans="2:10" x14ac:dyDescent="0.25">
      <c r="B68" s="166"/>
      <c r="C68" s="166"/>
      <c r="D68" s="166"/>
    </row>
    <row r="69" spans="2:10" x14ac:dyDescent="0.25">
      <c r="C69" s="35"/>
      <c r="D69" s="35"/>
    </row>
    <row r="70" spans="2:10" x14ac:dyDescent="0.25">
      <c r="E70">
        <v>0</v>
      </c>
    </row>
    <row r="71" spans="2:10" x14ac:dyDescent="0.25">
      <c r="D71" s="35"/>
      <c r="E71" t="s">
        <v>0</v>
      </c>
    </row>
    <row r="72" spans="2:10" x14ac:dyDescent="0.25">
      <c r="B72" s="35"/>
      <c r="D72" s="35"/>
    </row>
    <row r="73" spans="2:10" x14ac:dyDescent="0.25">
      <c r="D73" s="35"/>
    </row>
    <row r="74" spans="2:10" x14ac:dyDescent="0.25">
      <c r="E74" s="35"/>
    </row>
  </sheetData>
  <mergeCells count="8">
    <mergeCell ref="J39:K39"/>
    <mergeCell ref="L47:M47"/>
    <mergeCell ref="B1:F1"/>
    <mergeCell ref="J1:K1"/>
    <mergeCell ref="P1:T1"/>
    <mergeCell ref="O18:P18"/>
    <mergeCell ref="R20:T20"/>
    <mergeCell ref="L33:M33"/>
  </mergeCells>
  <pageMargins left="0.511811024" right="0.511811024" top="0.78740157499999996" bottom="0.78740157499999996" header="0.31496062000000002" footer="0.31496062000000002"/>
  <pageSetup paperSize="9" scale="72" orientation="portrait" horizontalDpi="0" verticalDpi="0" r:id="rId1"/>
  <rowBreaks count="1" manualBreakCount="1">
    <brk id="66" max="16383" man="1"/>
  </rowBreaks>
  <colBreaks count="2" manualBreakCount="2">
    <brk id="7" max="1048575" man="1"/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D648B-BF5F-452C-A4FF-4F55ED7EF22C}">
  <dimension ref="A1:W74"/>
  <sheetViews>
    <sheetView topLeftCell="A49" zoomScaleNormal="100" workbookViewId="0">
      <selection activeCell="C14" sqref="C14"/>
    </sheetView>
  </sheetViews>
  <sheetFormatPr defaultRowHeight="15" x14ac:dyDescent="0.25"/>
  <cols>
    <col min="1" max="1" width="14.5703125" customWidth="1"/>
    <col min="2" max="2" width="35.28515625" customWidth="1"/>
    <col min="3" max="3" width="21.7109375" customWidth="1"/>
    <col min="4" max="4" width="22.140625" customWidth="1"/>
    <col min="5" max="5" width="15.42578125" bestFit="1" customWidth="1"/>
    <col min="6" max="6" width="11.5703125" bestFit="1" customWidth="1"/>
    <col min="7" max="7" width="2.85546875" customWidth="1"/>
    <col min="8" max="8" width="3.42578125" customWidth="1"/>
    <col min="9" max="9" width="14.85546875" bestFit="1" customWidth="1"/>
    <col min="10" max="10" width="30.7109375" bestFit="1" customWidth="1"/>
    <col min="11" max="11" width="18.140625" bestFit="1" customWidth="1"/>
    <col min="12" max="12" width="15.42578125" customWidth="1"/>
    <col min="13" max="14" width="10.140625" bestFit="1" customWidth="1"/>
    <col min="15" max="15" width="13.85546875" customWidth="1"/>
    <col min="16" max="16" width="17" customWidth="1"/>
    <col min="17" max="17" width="18" bestFit="1" customWidth="1"/>
    <col min="18" max="18" width="25" bestFit="1" customWidth="1"/>
    <col min="19" max="19" width="13.42578125" bestFit="1" customWidth="1"/>
    <col min="20" max="20" width="13.140625" customWidth="1"/>
  </cols>
  <sheetData>
    <row r="1" spans="1:23" ht="18.75" x14ac:dyDescent="0.3">
      <c r="B1" s="171" t="s">
        <v>134</v>
      </c>
      <c r="C1" s="171"/>
      <c r="D1" s="171"/>
      <c r="E1" s="171"/>
      <c r="F1" s="171"/>
      <c r="J1" s="171" t="s">
        <v>135</v>
      </c>
      <c r="K1" s="171"/>
      <c r="P1" s="171" t="s">
        <v>136</v>
      </c>
      <c r="Q1" s="171"/>
      <c r="R1" s="171"/>
      <c r="S1" s="171"/>
      <c r="T1" s="171"/>
    </row>
    <row r="2" spans="1:23" ht="15.75" thickBot="1" x14ac:dyDescent="0.3">
      <c r="A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I2" s="2"/>
      <c r="J2" s="1" t="s">
        <v>6</v>
      </c>
      <c r="K2" s="1" t="s">
        <v>7</v>
      </c>
      <c r="L2" s="3"/>
      <c r="O2" s="4" t="s">
        <v>8</v>
      </c>
      <c r="P2" s="1" t="s">
        <v>9</v>
      </c>
      <c r="Q2" s="1" t="s">
        <v>2</v>
      </c>
      <c r="R2" s="1" t="s">
        <v>3</v>
      </c>
      <c r="S2" s="1" t="s">
        <v>4</v>
      </c>
      <c r="T2" s="1" t="s">
        <v>5</v>
      </c>
    </row>
    <row r="3" spans="1:23" ht="15.75" thickBot="1" x14ac:dyDescent="0.3">
      <c r="A3" s="5" t="s">
        <v>10</v>
      </c>
      <c r="B3" s="6" t="s">
        <v>11</v>
      </c>
      <c r="C3" s="7">
        <f>C4+C5+C6+C7+C8+C9+C10+C11+C12+C13+C16+C14</f>
        <v>248046.98</v>
      </c>
      <c r="D3" s="8" t="s">
        <v>12</v>
      </c>
      <c r="E3" s="7">
        <f>E4+E5+E6</f>
        <v>76552.570000000007</v>
      </c>
      <c r="F3" s="9"/>
      <c r="I3" s="5" t="s">
        <v>10</v>
      </c>
      <c r="J3" s="10" t="s">
        <v>6</v>
      </c>
      <c r="K3" s="11">
        <f>K4+K5+K6+K7+K8+K9+K10+K11+K12+K13</f>
        <v>19091.39</v>
      </c>
      <c r="L3" s="12">
        <v>3637</v>
      </c>
      <c r="O3" s="12">
        <v>3637</v>
      </c>
      <c r="P3" s="13" t="s">
        <v>13</v>
      </c>
      <c r="Q3" s="14">
        <f>5081.9+214162.35</f>
        <v>219244.25</v>
      </c>
      <c r="R3" s="15" t="s">
        <v>14</v>
      </c>
      <c r="S3" s="16">
        <v>614.99</v>
      </c>
      <c r="T3" s="17">
        <v>3639</v>
      </c>
    </row>
    <row r="4" spans="1:23" ht="15.75" thickBot="1" x14ac:dyDescent="0.3">
      <c r="A4" s="18" t="s">
        <v>15</v>
      </c>
      <c r="B4" s="19"/>
      <c r="C4" s="20">
        <v>248046.98</v>
      </c>
      <c r="D4" s="21" t="s">
        <v>16</v>
      </c>
      <c r="E4" s="20">
        <f>76552.57-25227.32</f>
        <v>51325.250000000007</v>
      </c>
      <c r="F4" s="17">
        <v>3713</v>
      </c>
      <c r="I4" s="18" t="s">
        <v>15</v>
      </c>
      <c r="J4" s="22" t="s">
        <v>133</v>
      </c>
      <c r="K4" s="14">
        <f>19750.79-659.4</f>
        <v>19091.39</v>
      </c>
      <c r="L4" s="3" t="s">
        <v>18</v>
      </c>
      <c r="O4" s="23" t="s">
        <v>18</v>
      </c>
      <c r="P4" s="13" t="s">
        <v>19</v>
      </c>
      <c r="Q4" s="14">
        <v>39684.699999999997</v>
      </c>
      <c r="R4" s="15" t="s">
        <v>20</v>
      </c>
      <c r="S4" s="16">
        <v>70.459999999999994</v>
      </c>
      <c r="T4" s="17">
        <v>3639</v>
      </c>
    </row>
    <row r="5" spans="1:23" x14ac:dyDescent="0.25">
      <c r="A5" s="2" t="s">
        <v>0</v>
      </c>
      <c r="B5" s="24"/>
      <c r="C5" s="20"/>
      <c r="D5" s="15" t="s">
        <v>21</v>
      </c>
      <c r="E5" s="20">
        <v>6136.31</v>
      </c>
      <c r="F5" s="17">
        <v>3712</v>
      </c>
      <c r="I5" s="2"/>
      <c r="J5" s="25" t="s">
        <v>22</v>
      </c>
      <c r="K5" s="14"/>
      <c r="L5" s="3"/>
      <c r="O5" s="26" t="s">
        <v>0</v>
      </c>
      <c r="P5" s="15" t="s">
        <v>23</v>
      </c>
      <c r="Q5" s="14"/>
      <c r="R5" s="15" t="s">
        <v>24</v>
      </c>
      <c r="S5" s="16">
        <v>275.82</v>
      </c>
      <c r="T5" s="17">
        <v>3639</v>
      </c>
    </row>
    <row r="6" spans="1:23" x14ac:dyDescent="0.25">
      <c r="A6" s="2"/>
      <c r="B6" s="24"/>
      <c r="C6" s="20"/>
      <c r="D6" s="15" t="s">
        <v>25</v>
      </c>
      <c r="E6" s="20">
        <v>19091.009999999998</v>
      </c>
      <c r="F6" s="17">
        <v>3713</v>
      </c>
      <c r="I6" s="2"/>
      <c r="J6" s="25"/>
      <c r="K6" s="27"/>
      <c r="L6" s="3" t="s">
        <v>26</v>
      </c>
      <c r="O6" s="26" t="s">
        <v>0</v>
      </c>
      <c r="P6" s="15" t="s">
        <v>27</v>
      </c>
      <c r="Q6" s="14"/>
      <c r="R6" s="15" t="s">
        <v>28</v>
      </c>
      <c r="S6" s="16">
        <v>551.52</v>
      </c>
      <c r="T6" s="17">
        <v>3639</v>
      </c>
      <c r="U6" s="2"/>
      <c r="V6" s="2"/>
      <c r="W6" s="2"/>
    </row>
    <row r="7" spans="1:23" x14ac:dyDescent="0.25">
      <c r="B7" s="24"/>
      <c r="C7" s="20"/>
      <c r="D7" s="15" t="s">
        <v>29</v>
      </c>
      <c r="E7" s="20"/>
      <c r="F7" s="17"/>
      <c r="J7" s="25"/>
      <c r="K7" s="14"/>
      <c r="L7" s="3"/>
      <c r="O7" s="2" t="s">
        <v>0</v>
      </c>
      <c r="P7" s="15"/>
      <c r="Q7" s="14"/>
      <c r="R7" s="15" t="s">
        <v>30</v>
      </c>
      <c r="S7" s="16">
        <v>31551.3</v>
      </c>
      <c r="T7" s="17">
        <v>3639</v>
      </c>
    </row>
    <row r="8" spans="1:23" x14ac:dyDescent="0.25">
      <c r="A8" s="2"/>
      <c r="B8" s="24"/>
      <c r="C8" s="20"/>
      <c r="D8" s="15"/>
      <c r="E8" s="20"/>
      <c r="F8" s="28"/>
      <c r="I8" s="2"/>
      <c r="J8" s="25"/>
      <c r="K8" s="14"/>
      <c r="L8" s="29"/>
      <c r="P8" s="15"/>
      <c r="Q8" s="14"/>
      <c r="R8" s="15" t="s">
        <v>31</v>
      </c>
      <c r="S8" s="16">
        <v>2979.76</v>
      </c>
      <c r="T8" s="17">
        <v>3639</v>
      </c>
    </row>
    <row r="9" spans="1:23" x14ac:dyDescent="0.25">
      <c r="A9" s="2"/>
      <c r="B9" s="24"/>
      <c r="C9" s="20"/>
      <c r="D9" s="15"/>
      <c r="E9" s="20"/>
      <c r="F9" s="17"/>
      <c r="I9" s="2"/>
      <c r="J9" s="25"/>
      <c r="K9" s="14"/>
      <c r="L9" s="29"/>
      <c r="O9" s="4" t="s">
        <v>0</v>
      </c>
      <c r="P9" s="15"/>
      <c r="Q9" s="14"/>
      <c r="R9" s="15" t="s">
        <v>32</v>
      </c>
      <c r="S9" s="16">
        <v>11499.69</v>
      </c>
      <c r="T9" s="17">
        <v>3639</v>
      </c>
    </row>
    <row r="10" spans="1:23" x14ac:dyDescent="0.25">
      <c r="A10" s="2"/>
      <c r="B10" s="30"/>
      <c r="C10" s="20"/>
      <c r="D10" s="15"/>
      <c r="E10" s="20"/>
      <c r="F10" s="17"/>
      <c r="I10" s="2"/>
      <c r="J10" s="25"/>
      <c r="K10" s="14"/>
      <c r="L10" s="3"/>
      <c r="P10" s="15"/>
      <c r="Q10" s="14"/>
      <c r="R10" s="15" t="s">
        <v>33</v>
      </c>
      <c r="S10" s="16">
        <v>560.66999999999996</v>
      </c>
      <c r="T10" s="17">
        <v>3639</v>
      </c>
    </row>
    <row r="11" spans="1:23" x14ac:dyDescent="0.25">
      <c r="A11" s="2"/>
      <c r="B11" s="31"/>
      <c r="C11" s="20"/>
      <c r="D11" s="15"/>
      <c r="E11" s="20"/>
      <c r="F11" s="17"/>
      <c r="H11" s="32"/>
      <c r="I11" s="2"/>
      <c r="J11" s="25"/>
      <c r="K11" s="14"/>
      <c r="L11" s="3"/>
      <c r="P11" s="15"/>
      <c r="Q11" s="14"/>
      <c r="R11" s="15" t="s">
        <v>34</v>
      </c>
      <c r="S11" s="16">
        <v>6409.27</v>
      </c>
      <c r="T11" s="33">
        <v>3712</v>
      </c>
    </row>
    <row r="12" spans="1:23" x14ac:dyDescent="0.25">
      <c r="A12" s="2"/>
      <c r="B12" s="34"/>
      <c r="C12" s="20"/>
      <c r="D12" s="21"/>
      <c r="E12" s="20"/>
      <c r="F12" s="17"/>
      <c r="H12" s="32"/>
      <c r="I12" s="32"/>
      <c r="J12" s="25"/>
      <c r="K12" s="14"/>
      <c r="L12" s="3"/>
      <c r="P12" s="15"/>
      <c r="Q12" s="14"/>
      <c r="R12" s="15" t="s">
        <v>25</v>
      </c>
      <c r="S12" s="16">
        <v>659.4</v>
      </c>
      <c r="T12" s="33">
        <v>3637</v>
      </c>
    </row>
    <row r="13" spans="1:23" ht="15.75" thickBot="1" x14ac:dyDescent="0.3">
      <c r="A13" s="2"/>
      <c r="B13" s="24"/>
      <c r="C13" s="20"/>
      <c r="D13" s="15" t="s">
        <v>0</v>
      </c>
      <c r="E13" s="20">
        <v>0</v>
      </c>
      <c r="F13" s="17"/>
      <c r="J13" s="25"/>
      <c r="K13" s="14"/>
      <c r="O13" s="35"/>
      <c r="P13" s="15"/>
      <c r="Q13" s="14"/>
      <c r="R13" s="165" t="s">
        <v>132</v>
      </c>
      <c r="S13" s="16"/>
      <c r="T13" s="28"/>
    </row>
    <row r="14" spans="1:23" ht="15.75" thickBot="1" x14ac:dyDescent="0.3">
      <c r="A14" s="2"/>
      <c r="B14" s="36"/>
      <c r="C14" s="20"/>
      <c r="D14" s="15"/>
      <c r="E14" s="20"/>
      <c r="F14" s="17"/>
      <c r="I14" s="37" t="s">
        <v>35</v>
      </c>
      <c r="J14" s="10" t="s">
        <v>36</v>
      </c>
      <c r="K14" s="11">
        <f>SUM(K15:K19)</f>
        <v>20467.7</v>
      </c>
      <c r="L14" s="12">
        <v>3637</v>
      </c>
      <c r="P14" s="15"/>
      <c r="Q14" s="14"/>
      <c r="R14" s="15"/>
      <c r="S14" s="16"/>
      <c r="T14" s="17"/>
    </row>
    <row r="15" spans="1:23" ht="15.75" thickBot="1" x14ac:dyDescent="0.3">
      <c r="A15" s="2"/>
      <c r="B15" s="24"/>
      <c r="C15" s="20"/>
      <c r="D15" s="15"/>
      <c r="E15" s="20"/>
      <c r="F15" s="17"/>
      <c r="I15" s="38" t="s">
        <v>37</v>
      </c>
      <c r="J15" s="22" t="s">
        <v>17</v>
      </c>
      <c r="K15" s="14">
        <v>20467.7</v>
      </c>
      <c r="L15" s="3" t="s">
        <v>18</v>
      </c>
      <c r="P15" s="15"/>
      <c r="Q15" s="14">
        <v>0</v>
      </c>
      <c r="R15" s="15"/>
      <c r="S15" s="16"/>
      <c r="T15" s="17"/>
    </row>
    <row r="16" spans="1:23" ht="15.75" thickBot="1" x14ac:dyDescent="0.3">
      <c r="A16" s="2" t="s">
        <v>0</v>
      </c>
      <c r="B16" s="39" t="s">
        <v>38</v>
      </c>
      <c r="C16" s="40"/>
      <c r="D16" s="15"/>
      <c r="E16" s="20"/>
      <c r="F16" s="17"/>
      <c r="H16" s="41"/>
      <c r="I16" s="2"/>
      <c r="J16" s="25"/>
      <c r="K16" s="14"/>
      <c r="L16" s="3"/>
      <c r="P16" s="42" t="s">
        <v>39</v>
      </c>
      <c r="Q16" s="43">
        <f>SUM(Q3:Q15)</f>
        <v>258928.95</v>
      </c>
      <c r="R16" s="44" t="s">
        <v>39</v>
      </c>
      <c r="S16" s="45">
        <f>SUM(S3:S15)</f>
        <v>55172.88</v>
      </c>
      <c r="T16" s="46"/>
    </row>
    <row r="17" spans="1:20" x14ac:dyDescent="0.25">
      <c r="A17" s="5" t="s">
        <v>40</v>
      </c>
      <c r="B17" s="6" t="s">
        <v>41</v>
      </c>
      <c r="C17" s="7">
        <f>C18</f>
        <v>59838.85</v>
      </c>
      <c r="D17" s="8" t="s">
        <v>42</v>
      </c>
      <c r="E17" s="47">
        <f>E18+E19+E20</f>
        <v>22019.64</v>
      </c>
      <c r="F17" s="48"/>
      <c r="J17" s="25"/>
      <c r="K17" s="14"/>
      <c r="L17" s="3"/>
      <c r="P17" s="49" t="s">
        <v>43</v>
      </c>
      <c r="Q17" s="50"/>
      <c r="R17" s="51" t="s">
        <v>44</v>
      </c>
      <c r="S17" s="52">
        <f>S3+S4+S5+S6+S7+S8+S9+S10</f>
        <v>48104.21</v>
      </c>
      <c r="T17" s="53" t="s">
        <v>45</v>
      </c>
    </row>
    <row r="18" spans="1:20" ht="15.75" thickBot="1" x14ac:dyDescent="0.3">
      <c r="A18" s="18" t="s">
        <v>46</v>
      </c>
      <c r="B18" s="54"/>
      <c r="C18" s="20">
        <v>59838.85</v>
      </c>
      <c r="D18" s="15" t="s">
        <v>16</v>
      </c>
      <c r="E18" s="20">
        <f>22019.64-6806.23</f>
        <v>15213.41</v>
      </c>
      <c r="F18" s="17">
        <v>3713</v>
      </c>
      <c r="I18" s="2"/>
      <c r="J18" s="25"/>
      <c r="K18" s="14"/>
      <c r="L18" s="3"/>
      <c r="O18" s="172" t="s">
        <v>47</v>
      </c>
      <c r="P18" s="172"/>
      <c r="Q18" s="55"/>
      <c r="R18" s="56" t="s">
        <v>48</v>
      </c>
      <c r="S18" s="52">
        <f>S11</f>
        <v>6409.27</v>
      </c>
      <c r="T18" s="53" t="s">
        <v>49</v>
      </c>
    </row>
    <row r="19" spans="1:20" ht="18" thickBot="1" x14ac:dyDescent="0.35">
      <c r="A19" s="2"/>
      <c r="B19" s="25"/>
      <c r="C19" s="20" t="s">
        <v>50</v>
      </c>
      <c r="D19" s="15" t="s">
        <v>34</v>
      </c>
      <c r="E19" s="20">
        <v>183.11</v>
      </c>
      <c r="F19" s="17">
        <v>3712</v>
      </c>
      <c r="I19" s="2"/>
      <c r="J19" s="25"/>
      <c r="K19" s="14"/>
      <c r="L19" s="3"/>
      <c r="O19" s="57"/>
      <c r="P19" s="58" t="s">
        <v>51</v>
      </c>
      <c r="Q19" s="59">
        <f>Q16+Q17+Q18</f>
        <v>258928.95</v>
      </c>
      <c r="R19" s="60" t="s">
        <v>52</v>
      </c>
      <c r="S19" s="61">
        <f>S12</f>
        <v>659.4</v>
      </c>
      <c r="T19" s="62" t="s">
        <v>53</v>
      </c>
    </row>
    <row r="20" spans="1:20" ht="15.75" thickBot="1" x14ac:dyDescent="0.3">
      <c r="B20" s="25"/>
      <c r="C20" s="20"/>
      <c r="D20" s="15" t="s">
        <v>54</v>
      </c>
      <c r="E20" s="20">
        <v>6623.12</v>
      </c>
      <c r="F20" s="17">
        <v>3713</v>
      </c>
      <c r="I20" s="63" t="s">
        <v>55</v>
      </c>
      <c r="J20" s="64" t="s">
        <v>56</v>
      </c>
      <c r="K20" s="11">
        <f>K21</f>
        <v>10775.66</v>
      </c>
      <c r="L20" s="65">
        <v>3637</v>
      </c>
      <c r="O20" s="66"/>
      <c r="P20" s="67" t="s">
        <v>57</v>
      </c>
      <c r="Q20" s="68">
        <f>Q19-S16-Q18</f>
        <v>203756.07</v>
      </c>
      <c r="R20" s="173" t="s">
        <v>58</v>
      </c>
      <c r="S20" s="174"/>
      <c r="T20" s="175"/>
    </row>
    <row r="21" spans="1:20" ht="15.75" thickBot="1" x14ac:dyDescent="0.3">
      <c r="A21" s="2" t="s">
        <v>59</v>
      </c>
      <c r="B21" s="69" t="s">
        <v>60</v>
      </c>
      <c r="C21" s="70">
        <f>C22</f>
        <v>0</v>
      </c>
      <c r="D21" s="71" t="s">
        <v>60</v>
      </c>
      <c r="E21" s="70">
        <f>E22+E23+E24</f>
        <v>0</v>
      </c>
      <c r="F21" s="48"/>
      <c r="I21" s="72" t="s">
        <v>46</v>
      </c>
      <c r="J21" s="73" t="s">
        <v>17</v>
      </c>
      <c r="K21" s="74">
        <v>10775.66</v>
      </c>
      <c r="L21" s="3"/>
      <c r="P21" s="57"/>
      <c r="Q21" s="57"/>
      <c r="R21" s="57"/>
      <c r="S21" s="75"/>
      <c r="T21" s="76"/>
    </row>
    <row r="22" spans="1:20" ht="15.75" thickBot="1" x14ac:dyDescent="0.3">
      <c r="A22" s="2"/>
      <c r="B22" s="25"/>
      <c r="C22" s="20"/>
      <c r="D22" s="15" t="s">
        <v>16</v>
      </c>
      <c r="E22" s="20"/>
      <c r="F22" s="28"/>
      <c r="I22" s="77" t="s">
        <v>61</v>
      </c>
      <c r="J22" s="10" t="s">
        <v>62</v>
      </c>
      <c r="K22" s="78">
        <f>K23</f>
        <v>29673.47</v>
      </c>
      <c r="L22" s="12">
        <v>3637</v>
      </c>
      <c r="M22" s="41" t="s">
        <v>0</v>
      </c>
      <c r="Q22" s="79" t="s">
        <v>63</v>
      </c>
      <c r="R22" s="79"/>
      <c r="S22" s="80">
        <f>S11</f>
        <v>6409.27</v>
      </c>
      <c r="T22" s="41"/>
    </row>
    <row r="23" spans="1:20" ht="15.75" thickBot="1" x14ac:dyDescent="0.3">
      <c r="A23" s="2"/>
      <c r="B23" s="25"/>
      <c r="C23" s="20"/>
      <c r="D23" s="15" t="s">
        <v>34</v>
      </c>
      <c r="E23" s="20"/>
      <c r="F23" s="28"/>
      <c r="I23" s="60" t="s">
        <v>64</v>
      </c>
      <c r="J23" s="22" t="s">
        <v>17</v>
      </c>
      <c r="K23" s="14">
        <v>29673.47</v>
      </c>
      <c r="L23" s="3" t="s">
        <v>18</v>
      </c>
      <c r="P23" s="2"/>
      <c r="Q23" s="2"/>
      <c r="R23" s="2"/>
    </row>
    <row r="24" spans="1:20" ht="15" customHeight="1" thickBot="1" x14ac:dyDescent="0.3">
      <c r="A24" s="2" t="s">
        <v>0</v>
      </c>
      <c r="B24" s="25"/>
      <c r="C24" s="20"/>
      <c r="D24" s="15" t="s">
        <v>65</v>
      </c>
      <c r="E24" s="20"/>
      <c r="F24" s="17"/>
      <c r="I24" s="81" t="s">
        <v>66</v>
      </c>
      <c r="J24" s="82" t="s">
        <v>67</v>
      </c>
      <c r="K24" s="11">
        <f>K25</f>
        <v>0</v>
      </c>
      <c r="L24" s="12">
        <v>3637</v>
      </c>
    </row>
    <row r="25" spans="1:20" ht="15.75" thickBot="1" x14ac:dyDescent="0.3">
      <c r="A25" s="5" t="s">
        <v>68</v>
      </c>
      <c r="B25" s="6" t="s">
        <v>69</v>
      </c>
      <c r="C25" s="7">
        <f>C26+C27+C28</f>
        <v>186084.66</v>
      </c>
      <c r="D25" s="8" t="s">
        <v>70</v>
      </c>
      <c r="E25" s="47">
        <f>SUM(E26:E29)</f>
        <v>71530.78</v>
      </c>
      <c r="F25" s="48"/>
      <c r="I25" s="83" t="s">
        <v>71</v>
      </c>
      <c r="J25" s="25"/>
      <c r="K25" s="14"/>
      <c r="L25" s="2" t="s">
        <v>18</v>
      </c>
      <c r="O25" s="84"/>
      <c r="P25" s="84"/>
      <c r="Q25" s="84"/>
      <c r="R25" s="84"/>
      <c r="S25" s="84"/>
      <c r="T25" s="84"/>
    </row>
    <row r="26" spans="1:20" ht="15.75" thickBot="1" x14ac:dyDescent="0.3">
      <c r="A26" s="18" t="s">
        <v>72</v>
      </c>
      <c r="B26" s="54"/>
      <c r="C26" s="20">
        <v>186084.66</v>
      </c>
      <c r="D26" s="15" t="s">
        <v>16</v>
      </c>
      <c r="E26" s="20">
        <f>71530.78-28878.41</f>
        <v>42652.369999999995</v>
      </c>
      <c r="F26" s="17">
        <v>3713</v>
      </c>
      <c r="I26" s="85" t="s">
        <v>73</v>
      </c>
      <c r="J26" s="86" t="s">
        <v>74</v>
      </c>
      <c r="K26" s="87">
        <v>0</v>
      </c>
      <c r="L26" s="12">
        <v>3637</v>
      </c>
      <c r="N26" s="41"/>
      <c r="O26" s="84"/>
      <c r="P26" s="88"/>
      <c r="Q26" s="88">
        <f>K34+K35+K49</f>
        <v>160674.74</v>
      </c>
      <c r="R26" s="88">
        <f>Q26-Q16</f>
        <v>-98254.210000000021</v>
      </c>
      <c r="S26" s="84"/>
      <c r="T26" s="84"/>
    </row>
    <row r="27" spans="1:20" ht="15.75" thickBot="1" x14ac:dyDescent="0.3">
      <c r="B27" s="25"/>
      <c r="C27" s="21"/>
      <c r="D27" s="15" t="s">
        <v>34</v>
      </c>
      <c r="E27" s="20">
        <v>4258.5200000000004</v>
      </c>
      <c r="F27" s="17">
        <v>3712</v>
      </c>
      <c r="I27" s="18" t="s">
        <v>75</v>
      </c>
      <c r="J27" s="22" t="s">
        <v>17</v>
      </c>
      <c r="K27" s="14"/>
      <c r="L27" s="3" t="s">
        <v>18</v>
      </c>
      <c r="R27" s="41"/>
    </row>
    <row r="28" spans="1:20" x14ac:dyDescent="0.25">
      <c r="A28" s="2" t="s">
        <v>0</v>
      </c>
      <c r="B28" s="25"/>
      <c r="C28" s="21"/>
      <c r="D28" s="15" t="s">
        <v>54</v>
      </c>
      <c r="E28" s="20">
        <v>24619.89</v>
      </c>
      <c r="F28" s="17">
        <v>3713</v>
      </c>
      <c r="J28" s="25"/>
      <c r="K28" s="14"/>
      <c r="Q28" s="41">
        <f>K33+K34+K35+K47+K48+K49</f>
        <v>321168.19</v>
      </c>
      <c r="R28" s="41">
        <f>Q28-Q16</f>
        <v>62239.239999999991</v>
      </c>
    </row>
    <row r="29" spans="1:20" ht="15.75" thickBot="1" x14ac:dyDescent="0.3">
      <c r="A29" s="2"/>
      <c r="B29" s="54"/>
      <c r="C29" s="21"/>
      <c r="D29" s="15" t="s">
        <v>29</v>
      </c>
      <c r="E29" s="20"/>
      <c r="F29" s="17"/>
      <c r="J29" s="54"/>
      <c r="K29" s="89"/>
    </row>
    <row r="30" spans="1:20" ht="15.75" thickBot="1" x14ac:dyDescent="0.3">
      <c r="A30" s="5" t="s">
        <v>76</v>
      </c>
      <c r="B30" s="6" t="s">
        <v>77</v>
      </c>
      <c r="C30" s="7">
        <f>C31+C32+C33</f>
        <v>241667.41</v>
      </c>
      <c r="D30" s="8" t="s">
        <v>78</v>
      </c>
      <c r="E30" s="7">
        <f>SUM(E31:E34)</f>
        <v>90533.79</v>
      </c>
      <c r="F30" s="48"/>
      <c r="I30" s="5" t="s">
        <v>79</v>
      </c>
      <c r="J30" s="90" t="s">
        <v>80</v>
      </c>
      <c r="K30" s="11">
        <f>K31</f>
        <v>0</v>
      </c>
      <c r="L30" s="12">
        <v>3637</v>
      </c>
    </row>
    <row r="31" spans="1:20" ht="15.75" thickBot="1" x14ac:dyDescent="0.3">
      <c r="A31" s="18" t="s">
        <v>64</v>
      </c>
      <c r="B31" s="91"/>
      <c r="C31" s="20">
        <v>241667.41</v>
      </c>
      <c r="D31" s="15" t="s">
        <v>16</v>
      </c>
      <c r="E31" s="20">
        <f>90533.79-40654.29</f>
        <v>49879.499999999993</v>
      </c>
      <c r="F31" s="17">
        <v>3713</v>
      </c>
      <c r="I31" s="18" t="s">
        <v>81</v>
      </c>
      <c r="J31" s="22" t="s">
        <v>17</v>
      </c>
      <c r="K31" s="14"/>
      <c r="L31" s="3" t="s">
        <v>18</v>
      </c>
    </row>
    <row r="32" spans="1:20" ht="15.75" thickBot="1" x14ac:dyDescent="0.3">
      <c r="B32" s="25"/>
      <c r="C32" s="20"/>
      <c r="D32" s="15" t="s">
        <v>82</v>
      </c>
      <c r="E32" s="20">
        <v>12803.11</v>
      </c>
      <c r="F32" s="17">
        <v>3712</v>
      </c>
      <c r="J32" s="92"/>
      <c r="K32" s="93"/>
    </row>
    <row r="33" spans="1:18" ht="15.75" thickBot="1" x14ac:dyDescent="0.3">
      <c r="A33" s="2"/>
      <c r="B33" s="94"/>
      <c r="C33" s="40"/>
      <c r="D33" s="15" t="s">
        <v>25</v>
      </c>
      <c r="E33" s="20">
        <v>27851.18</v>
      </c>
      <c r="F33" s="17">
        <v>3713</v>
      </c>
      <c r="H33" t="s">
        <v>0</v>
      </c>
      <c r="I33" s="5" t="s">
        <v>10</v>
      </c>
      <c r="J33" s="95" t="s">
        <v>83</v>
      </c>
      <c r="K33" s="96">
        <f>159834.05-1299.97</f>
        <v>158534.07999999999</v>
      </c>
      <c r="L33" s="176">
        <v>339197010000</v>
      </c>
      <c r="M33" s="177"/>
      <c r="N33" s="41"/>
      <c r="O33" s="35"/>
    </row>
    <row r="34" spans="1:18" ht="15.75" thickBot="1" x14ac:dyDescent="0.3">
      <c r="B34" s="25"/>
      <c r="C34" s="20"/>
      <c r="D34" s="15" t="s">
        <v>29</v>
      </c>
      <c r="E34" s="20"/>
      <c r="F34" s="97"/>
      <c r="H34" t="s">
        <v>0</v>
      </c>
      <c r="I34" s="18" t="s">
        <v>15</v>
      </c>
      <c r="J34" s="98" t="s">
        <v>84</v>
      </c>
      <c r="K34" s="99">
        <f>E58</f>
        <v>80007.12</v>
      </c>
      <c r="L34" s="3" t="s">
        <v>18</v>
      </c>
      <c r="O34" s="35"/>
    </row>
    <row r="35" spans="1:18" ht="15.75" thickBot="1" x14ac:dyDescent="0.3">
      <c r="A35" s="5" t="s">
        <v>85</v>
      </c>
      <c r="B35" s="6" t="s">
        <v>86</v>
      </c>
      <c r="C35" s="47">
        <f>C36</f>
        <v>32820.660000000003</v>
      </c>
      <c r="D35" s="8" t="s">
        <v>87</v>
      </c>
      <c r="E35" s="47">
        <f>SUM(E36:E38)</f>
        <v>0</v>
      </c>
      <c r="F35" s="48"/>
      <c r="I35" s="2"/>
      <c r="J35" s="100" t="s">
        <v>88</v>
      </c>
      <c r="K35" s="101">
        <f>K3+K14+K20+K22+K24+K26+K30</f>
        <v>80008.22</v>
      </c>
      <c r="L35" s="3" t="s">
        <v>89</v>
      </c>
      <c r="O35" s="35">
        <f>79403.25-K35</f>
        <v>-604.97000000000116</v>
      </c>
      <c r="P35" s="35"/>
    </row>
    <row r="36" spans="1:18" ht="15.75" thickBot="1" x14ac:dyDescent="0.3">
      <c r="A36" s="102" t="s">
        <v>71</v>
      </c>
      <c r="B36" s="54"/>
      <c r="C36" s="40">
        <v>32820.660000000003</v>
      </c>
      <c r="D36" s="15" t="s">
        <v>16</v>
      </c>
      <c r="E36" s="20"/>
      <c r="F36" s="17">
        <v>3713</v>
      </c>
      <c r="I36" s="2"/>
      <c r="J36" s="103"/>
      <c r="K36" s="104">
        <v>0</v>
      </c>
      <c r="L36" s="3"/>
      <c r="P36" s="35"/>
    </row>
    <row r="37" spans="1:18" ht="15.75" thickBot="1" x14ac:dyDescent="0.3">
      <c r="B37" s="25"/>
      <c r="C37" s="20"/>
      <c r="D37" s="15" t="s">
        <v>34</v>
      </c>
      <c r="E37" s="20"/>
      <c r="F37" s="17">
        <v>3712</v>
      </c>
      <c r="I37" s="2"/>
      <c r="J37" s="105"/>
      <c r="K37" s="104">
        <f>K35-K36</f>
        <v>80008.22</v>
      </c>
      <c r="L37" s="3"/>
      <c r="M37" s="41"/>
    </row>
    <row r="38" spans="1:18" ht="15.75" thickBot="1" x14ac:dyDescent="0.3">
      <c r="B38" s="25"/>
      <c r="C38" s="20"/>
      <c r="D38" s="15" t="s">
        <v>54</v>
      </c>
      <c r="E38" s="20"/>
      <c r="F38" s="17">
        <v>3713</v>
      </c>
      <c r="J38" s="106"/>
      <c r="K38" s="104">
        <v>0</v>
      </c>
      <c r="M38" s="41"/>
      <c r="N38" s="41"/>
    </row>
    <row r="39" spans="1:18" ht="15.75" thickBot="1" x14ac:dyDescent="0.3">
      <c r="A39" s="5" t="s">
        <v>90</v>
      </c>
      <c r="B39" s="6" t="s">
        <v>91</v>
      </c>
      <c r="C39" s="47">
        <f>C40</f>
        <v>0</v>
      </c>
      <c r="D39" s="8" t="s">
        <v>92</v>
      </c>
      <c r="E39" s="47">
        <f>SUM(E40:E42)</f>
        <v>0</v>
      </c>
      <c r="F39" s="48"/>
      <c r="J39" s="167" t="s">
        <v>93</v>
      </c>
      <c r="K39" s="168"/>
      <c r="L39" s="3"/>
    </row>
    <row r="40" spans="1:18" ht="15.75" thickBot="1" x14ac:dyDescent="0.3">
      <c r="A40" s="18" t="s">
        <v>94</v>
      </c>
      <c r="B40" s="54"/>
      <c r="C40" s="40"/>
      <c r="D40" s="15" t="s">
        <v>16</v>
      </c>
      <c r="E40" s="40"/>
      <c r="F40" s="17">
        <v>3713</v>
      </c>
      <c r="I40" s="37" t="s">
        <v>35</v>
      </c>
      <c r="J40" s="10" t="s">
        <v>95</v>
      </c>
      <c r="K40" s="107">
        <f>K41</f>
        <v>0</v>
      </c>
      <c r="L40" s="12">
        <v>3637</v>
      </c>
    </row>
    <row r="41" spans="1:18" ht="15.75" thickBot="1" x14ac:dyDescent="0.3">
      <c r="B41" s="25"/>
      <c r="C41" s="20"/>
      <c r="D41" s="15" t="s">
        <v>34</v>
      </c>
      <c r="E41" s="20"/>
      <c r="F41" s="17">
        <v>3712</v>
      </c>
      <c r="I41" s="18" t="s">
        <v>72</v>
      </c>
      <c r="J41" s="54"/>
      <c r="K41" s="14"/>
      <c r="L41" s="3" t="s">
        <v>18</v>
      </c>
    </row>
    <row r="42" spans="1:18" ht="15.75" thickBot="1" x14ac:dyDescent="0.3">
      <c r="A42" s="2" t="s">
        <v>0</v>
      </c>
      <c r="B42" s="25"/>
      <c r="C42" s="20"/>
      <c r="D42" s="15" t="s">
        <v>25</v>
      </c>
      <c r="E42" s="20"/>
      <c r="F42" s="17">
        <v>3713</v>
      </c>
      <c r="J42" s="25"/>
      <c r="K42" s="14"/>
      <c r="L42" s="3"/>
    </row>
    <row r="43" spans="1:18" ht="15.75" thickBot="1" x14ac:dyDescent="0.3">
      <c r="A43" s="51" t="s">
        <v>96</v>
      </c>
      <c r="B43" s="108" t="s">
        <v>97</v>
      </c>
      <c r="C43" s="47">
        <f>C44</f>
        <v>4554.43</v>
      </c>
      <c r="D43" s="109" t="s">
        <v>98</v>
      </c>
      <c r="E43" s="47">
        <f>SUM(E44:E46)</f>
        <v>1709.58</v>
      </c>
      <c r="F43" s="110"/>
      <c r="H43" t="s">
        <v>0</v>
      </c>
      <c r="I43" s="51" t="s">
        <v>99</v>
      </c>
      <c r="J43" s="90" t="s">
        <v>100</v>
      </c>
      <c r="K43" s="107">
        <f>K44</f>
        <v>0</v>
      </c>
      <c r="L43" s="12">
        <v>3637</v>
      </c>
      <c r="Q43" s="111"/>
      <c r="R43" s="111"/>
    </row>
    <row r="44" spans="1:18" ht="15.75" thickBot="1" x14ac:dyDescent="0.3">
      <c r="A44" s="112" t="s">
        <v>101</v>
      </c>
      <c r="B44" s="54"/>
      <c r="C44" s="113">
        <v>4554.43</v>
      </c>
      <c r="D44" s="15" t="s">
        <v>16</v>
      </c>
      <c r="E44" s="20">
        <f>1709.58-617.69</f>
        <v>1091.8899999999999</v>
      </c>
      <c r="F44" s="17">
        <v>3713</v>
      </c>
      <c r="I44" s="112" t="s">
        <v>64</v>
      </c>
      <c r="J44" s="54"/>
      <c r="K44" s="14"/>
      <c r="L44" s="3" t="s">
        <v>18</v>
      </c>
    </row>
    <row r="45" spans="1:18" x14ac:dyDescent="0.25">
      <c r="B45" s="25"/>
      <c r="C45" s="113"/>
      <c r="D45" s="15" t="s">
        <v>34</v>
      </c>
      <c r="E45" s="20">
        <v>28.28</v>
      </c>
      <c r="F45" s="17">
        <v>3712</v>
      </c>
      <c r="I45" s="5" t="s">
        <v>40</v>
      </c>
      <c r="J45" s="90" t="s">
        <v>102</v>
      </c>
      <c r="K45" s="107">
        <f>K46</f>
        <v>0</v>
      </c>
      <c r="L45" s="3" t="s">
        <v>0</v>
      </c>
    </row>
    <row r="46" spans="1:18" ht="15.75" thickBot="1" x14ac:dyDescent="0.3">
      <c r="A46" t="s">
        <v>0</v>
      </c>
      <c r="B46" s="25"/>
      <c r="C46" s="113"/>
      <c r="D46" s="15" t="s">
        <v>25</v>
      </c>
      <c r="E46" s="20">
        <v>589.41</v>
      </c>
      <c r="F46" s="97">
        <v>3713</v>
      </c>
      <c r="I46" s="38" t="s">
        <v>46</v>
      </c>
      <c r="J46" s="54" t="s">
        <v>0</v>
      </c>
      <c r="K46" s="93">
        <v>0</v>
      </c>
      <c r="P46" s="41"/>
      <c r="R46" s="114"/>
    </row>
    <row r="47" spans="1:18" ht="15.75" thickBot="1" x14ac:dyDescent="0.3">
      <c r="A47" s="5" t="s">
        <v>79</v>
      </c>
      <c r="B47" s="108" t="s">
        <v>103</v>
      </c>
      <c r="C47" s="47">
        <f>C48+C50</f>
        <v>4170.8900000000003</v>
      </c>
      <c r="D47" s="109" t="s">
        <v>104</v>
      </c>
      <c r="E47" s="47">
        <f>E48+E49+E50</f>
        <v>883.29</v>
      </c>
      <c r="F47" s="110"/>
      <c r="I47" s="5" t="s">
        <v>10</v>
      </c>
      <c r="J47" s="95" t="s">
        <v>105</v>
      </c>
      <c r="K47" s="115">
        <v>1299.97</v>
      </c>
      <c r="L47" s="169">
        <v>319113990100</v>
      </c>
      <c r="M47" s="170"/>
      <c r="O47" s="35"/>
      <c r="P47" s="41"/>
      <c r="Q47" s="41"/>
      <c r="R47" s="41"/>
    </row>
    <row r="48" spans="1:18" ht="15.75" thickBot="1" x14ac:dyDescent="0.3">
      <c r="A48" s="18" t="s">
        <v>81</v>
      </c>
      <c r="B48" s="54"/>
      <c r="C48" s="116">
        <v>4170.8900000000003</v>
      </c>
      <c r="D48" s="15" t="s">
        <v>16</v>
      </c>
      <c r="E48" s="21">
        <f>883.29-405.03</f>
        <v>478.26</v>
      </c>
      <c r="F48" s="17">
        <v>3713</v>
      </c>
      <c r="G48" s="117"/>
      <c r="H48" s="41"/>
      <c r="I48" s="18" t="s">
        <v>15</v>
      </c>
      <c r="J48" s="98" t="s">
        <v>106</v>
      </c>
      <c r="K48" s="118">
        <f>S12</f>
        <v>659.4</v>
      </c>
      <c r="L48" s="3" t="s">
        <v>18</v>
      </c>
      <c r="O48" s="41"/>
      <c r="P48" s="41"/>
    </row>
    <row r="49" spans="1:16" ht="15.75" thickBot="1" x14ac:dyDescent="0.3">
      <c r="B49" s="25"/>
      <c r="C49" s="113"/>
      <c r="D49" s="15" t="s">
        <v>34</v>
      </c>
      <c r="E49" s="21">
        <v>29.99</v>
      </c>
      <c r="F49" s="17">
        <v>3712</v>
      </c>
      <c r="G49" s="41"/>
      <c r="J49" s="69" t="s">
        <v>107</v>
      </c>
      <c r="K49" s="119">
        <v>659.4</v>
      </c>
      <c r="L49" s="120" t="s">
        <v>18</v>
      </c>
      <c r="O49" s="41"/>
    </row>
    <row r="50" spans="1:16" ht="15.75" thickBot="1" x14ac:dyDescent="0.3">
      <c r="B50" s="25"/>
      <c r="C50" s="113">
        <v>0</v>
      </c>
      <c r="D50" s="15" t="s">
        <v>25</v>
      </c>
      <c r="E50" s="21">
        <v>375.04</v>
      </c>
      <c r="F50" s="17">
        <v>3713</v>
      </c>
      <c r="G50" s="41"/>
      <c r="J50" s="49"/>
      <c r="K50" s="104"/>
      <c r="O50" s="41"/>
    </row>
    <row r="51" spans="1:16" x14ac:dyDescent="0.25">
      <c r="A51" s="5" t="s">
        <v>59</v>
      </c>
      <c r="B51" s="121" t="s">
        <v>108</v>
      </c>
      <c r="C51" s="122">
        <f>C52+C53+C54</f>
        <v>15910.4</v>
      </c>
      <c r="D51" s="123" t="s">
        <v>109</v>
      </c>
      <c r="E51" s="124">
        <f>E54+E53+E52</f>
        <v>3867.9800000000005</v>
      </c>
      <c r="F51" s="125"/>
      <c r="G51" s="41"/>
      <c r="I51" s="67"/>
      <c r="J51" s="67" t="s">
        <v>110</v>
      </c>
      <c r="K51" s="104">
        <f>K35+K49</f>
        <v>80667.62</v>
      </c>
      <c r="L51" s="106">
        <f>K51+K52</f>
        <v>240501.66999999998</v>
      </c>
      <c r="O51" s="41"/>
      <c r="P51" s="35"/>
    </row>
    <row r="52" spans="1:16" ht="15.75" thickBot="1" x14ac:dyDescent="0.3">
      <c r="A52" s="38" t="s">
        <v>111</v>
      </c>
      <c r="B52" s="54"/>
      <c r="C52" s="126">
        <v>15910.4</v>
      </c>
      <c r="D52" s="15" t="s">
        <v>16</v>
      </c>
      <c r="E52" s="126">
        <f>2717.03+1150.95-903.27</f>
        <v>2964.7100000000005</v>
      </c>
      <c r="F52" s="15"/>
      <c r="G52" s="41"/>
      <c r="I52" s="67"/>
      <c r="J52" s="67" t="s">
        <v>112</v>
      </c>
      <c r="K52" s="104">
        <f>K33+K47</f>
        <v>159834.04999999999</v>
      </c>
      <c r="L52" s="106"/>
      <c r="O52" s="35"/>
    </row>
    <row r="53" spans="1:16" x14ac:dyDescent="0.25">
      <c r="B53" s="15"/>
      <c r="C53" s="126"/>
      <c r="D53" s="15" t="s">
        <v>34</v>
      </c>
      <c r="E53" s="126">
        <v>45.8</v>
      </c>
      <c r="F53" s="15"/>
      <c r="G53" s="41"/>
      <c r="I53" s="49"/>
      <c r="J53" s="49" t="s">
        <v>113</v>
      </c>
      <c r="K53" s="104">
        <f>K34+K48</f>
        <v>80666.51999999999</v>
      </c>
      <c r="L53" s="106"/>
    </row>
    <row r="54" spans="1:16" x14ac:dyDescent="0.25">
      <c r="B54" s="15"/>
      <c r="C54" s="126"/>
      <c r="D54" s="15" t="s">
        <v>25</v>
      </c>
      <c r="E54" s="126">
        <v>857.47</v>
      </c>
      <c r="F54" s="15"/>
      <c r="I54" s="127"/>
      <c r="J54" s="127" t="s">
        <v>114</v>
      </c>
      <c r="K54" s="104">
        <f>K51+K52+K53</f>
        <v>321168.18999999994</v>
      </c>
      <c r="L54" s="106"/>
    </row>
    <row r="55" spans="1:16" ht="15.75" thickBot="1" x14ac:dyDescent="0.3">
      <c r="B55" s="42" t="s">
        <v>39</v>
      </c>
      <c r="C55" s="128">
        <f>C3+C17+C25+C30+C35+C39+C47+C51+C43+C21</f>
        <v>793094.28000000014</v>
      </c>
      <c r="D55" s="44" t="s">
        <v>39</v>
      </c>
      <c r="E55" s="129">
        <f>E3+E17+E21+E25+E30+E43+E47+E35+E51</f>
        <v>267097.62999999995</v>
      </c>
      <c r="F55" s="130"/>
      <c r="J55" s="127"/>
      <c r="K55" s="131">
        <f>K54-K53</f>
        <v>240501.66999999995</v>
      </c>
      <c r="L55" s="132" t="s">
        <v>115</v>
      </c>
    </row>
    <row r="56" spans="1:16" ht="15.75" thickBot="1" x14ac:dyDescent="0.3">
      <c r="B56" s="133" t="s">
        <v>116</v>
      </c>
      <c r="C56" s="134">
        <f>C55-E55</f>
        <v>525996.65000000014</v>
      </c>
      <c r="D56" s="135" t="s">
        <v>117</v>
      </c>
      <c r="E56" s="136">
        <f>E4+E18+E22+E26+E31+E44+E48+E36+E52</f>
        <v>163605.39000000001</v>
      </c>
      <c r="F56" s="137" t="s">
        <v>118</v>
      </c>
      <c r="J56" s="2" t="s">
        <v>119</v>
      </c>
      <c r="K56" s="131"/>
    </row>
    <row r="57" spans="1:16" ht="16.5" thickBot="1" x14ac:dyDescent="0.3">
      <c r="A57" s="138"/>
      <c r="B57" s="67" t="s">
        <v>120</v>
      </c>
      <c r="C57" s="139">
        <f>C56+Q18</f>
        <v>525996.65000000014</v>
      </c>
      <c r="D57" s="140" t="s">
        <v>121</v>
      </c>
      <c r="E57" s="141">
        <f>E5+E19+E23+E27+E32+E37+E41+E45+E49+E53</f>
        <v>23485.120000000003</v>
      </c>
      <c r="F57" s="142" t="s">
        <v>49</v>
      </c>
      <c r="K57" s="131"/>
    </row>
    <row r="58" spans="1:16" ht="15.75" thickBot="1" x14ac:dyDescent="0.3">
      <c r="A58" s="143"/>
      <c r="B58" s="144"/>
      <c r="C58" s="145"/>
      <c r="D58" s="146" t="s">
        <v>122</v>
      </c>
      <c r="E58" s="147">
        <f>E6+E20+E24+E28+E33+E50+E54+E46+E42+E38</f>
        <v>80007.12</v>
      </c>
      <c r="F58" s="148" t="s">
        <v>53</v>
      </c>
      <c r="J58" s="41"/>
      <c r="K58" s="149"/>
      <c r="L58" s="150"/>
    </row>
    <row r="59" spans="1:16" ht="15.75" thickBot="1" x14ac:dyDescent="0.3">
      <c r="B59" s="151" t="s">
        <v>123</v>
      </c>
      <c r="C59" s="145"/>
      <c r="D59" s="57"/>
      <c r="E59" s="152"/>
      <c r="F59" s="153"/>
      <c r="J59" s="41"/>
      <c r="K59" s="131"/>
    </row>
    <row r="60" spans="1:16" x14ac:dyDescent="0.25">
      <c r="C60" s="154"/>
      <c r="D60" s="155" t="s">
        <v>124</v>
      </c>
      <c r="E60" s="156">
        <f>C3+K3+K33+K47+K49</f>
        <v>427631.81999999995</v>
      </c>
      <c r="F60" s="153"/>
      <c r="K60" s="131"/>
      <c r="P60" t="s">
        <v>0</v>
      </c>
    </row>
    <row r="61" spans="1:16" x14ac:dyDescent="0.25">
      <c r="B61" s="35">
        <f>D68</f>
        <v>0</v>
      </c>
      <c r="C61" s="106"/>
      <c r="D61" s="157" t="s">
        <v>78</v>
      </c>
      <c r="E61" s="158">
        <f>C30+K22</f>
        <v>271340.88</v>
      </c>
      <c r="F61" s="4"/>
      <c r="K61" s="131"/>
      <c r="P61" t="s">
        <v>0</v>
      </c>
    </row>
    <row r="62" spans="1:16" x14ac:dyDescent="0.25">
      <c r="B62" s="35" t="s">
        <v>125</v>
      </c>
      <c r="C62" s="35">
        <f>E60+E61+E63+E64</f>
        <v>773758.1</v>
      </c>
      <c r="D62" s="159" t="s">
        <v>70</v>
      </c>
      <c r="E62" s="160">
        <f>C25+K14</f>
        <v>206552.36000000002</v>
      </c>
      <c r="I62" s="35"/>
    </row>
    <row r="63" spans="1:16" ht="15.75" thickBot="1" x14ac:dyDescent="0.3">
      <c r="B63" s="35" t="s">
        <v>126</v>
      </c>
      <c r="C63" s="41">
        <f>K33+K47</f>
        <v>159834.04999999999</v>
      </c>
      <c r="D63" s="159" t="s">
        <v>104</v>
      </c>
      <c r="E63" s="160">
        <f>C47+K30</f>
        <v>4170.8900000000003</v>
      </c>
    </row>
    <row r="64" spans="1:16" ht="15.75" thickBot="1" x14ac:dyDescent="0.3">
      <c r="B64" s="161" t="s">
        <v>127</v>
      </c>
      <c r="C64" s="162">
        <f>C62-C63</f>
        <v>613924.05000000005</v>
      </c>
      <c r="D64" s="159" t="s">
        <v>42</v>
      </c>
      <c r="E64" s="160">
        <f>C17+K20</f>
        <v>70614.509999999995</v>
      </c>
    </row>
    <row r="65" spans="2:10" x14ac:dyDescent="0.25">
      <c r="B65" s="35"/>
      <c r="C65" s="35"/>
      <c r="D65" s="32"/>
      <c r="E65" s="35"/>
      <c r="I65" s="35"/>
      <c r="J65" s="35"/>
    </row>
    <row r="66" spans="2:10" x14ac:dyDescent="0.25">
      <c r="B66" s="163">
        <f>C35+C39+C51</f>
        <v>48731.060000000005</v>
      </c>
      <c r="C66" s="164" t="s">
        <v>128</v>
      </c>
    </row>
    <row r="68" spans="2:10" x14ac:dyDescent="0.25">
      <c r="B68" s="166"/>
      <c r="C68" s="166"/>
      <c r="D68" s="166"/>
      <c r="E68" s="35"/>
    </row>
    <row r="69" spans="2:10" x14ac:dyDescent="0.25">
      <c r="C69" s="35"/>
      <c r="D69" s="35"/>
    </row>
    <row r="70" spans="2:10" x14ac:dyDescent="0.25">
      <c r="E70">
        <v>0</v>
      </c>
    </row>
    <row r="71" spans="2:10" x14ac:dyDescent="0.25">
      <c r="D71" s="35"/>
      <c r="E71" t="s">
        <v>0</v>
      </c>
    </row>
    <row r="72" spans="2:10" x14ac:dyDescent="0.25">
      <c r="B72" s="35"/>
      <c r="D72" s="35"/>
    </row>
    <row r="73" spans="2:10" x14ac:dyDescent="0.25">
      <c r="D73" s="35"/>
    </row>
    <row r="74" spans="2:10" x14ac:dyDescent="0.25">
      <c r="E74" s="35"/>
    </row>
  </sheetData>
  <mergeCells count="8">
    <mergeCell ref="J39:K39"/>
    <mergeCell ref="L47:M47"/>
    <mergeCell ref="B1:F1"/>
    <mergeCell ref="J1:K1"/>
    <mergeCell ref="P1:T1"/>
    <mergeCell ref="O18:P18"/>
    <mergeCell ref="R20:T20"/>
    <mergeCell ref="L33:M33"/>
  </mergeCells>
  <pageMargins left="0.511811024" right="0.511811024" top="0.78740157499999996" bottom="0.78740157499999996" header="0.31496062000000002" footer="0.31496062000000002"/>
  <pageSetup paperSize="9" scale="72" orientation="portrait" horizontalDpi="0" verticalDpi="0" r:id="rId1"/>
  <colBreaks count="2" manualBreakCount="2">
    <brk id="8" max="1048575" man="1"/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2D734-5245-4FA1-ABBB-7ED27791D25A}">
  <dimension ref="A1:W74"/>
  <sheetViews>
    <sheetView topLeftCell="I28" zoomScaleNormal="100" workbookViewId="0">
      <selection activeCell="S12" sqref="S12"/>
    </sheetView>
  </sheetViews>
  <sheetFormatPr defaultRowHeight="15" x14ac:dyDescent="0.25"/>
  <cols>
    <col min="1" max="1" width="14.5703125" customWidth="1"/>
    <col min="2" max="2" width="35.28515625" customWidth="1"/>
    <col min="3" max="3" width="21.7109375" customWidth="1"/>
    <col min="4" max="4" width="22.140625" customWidth="1"/>
    <col min="5" max="5" width="15.42578125" bestFit="1" customWidth="1"/>
    <col min="6" max="6" width="11.5703125" bestFit="1" customWidth="1"/>
    <col min="7" max="7" width="2.85546875" customWidth="1"/>
    <col min="8" max="8" width="3.42578125" customWidth="1"/>
    <col min="9" max="9" width="14.85546875" bestFit="1" customWidth="1"/>
    <col min="10" max="10" width="30.7109375" bestFit="1" customWidth="1"/>
    <col min="11" max="11" width="18.140625" bestFit="1" customWidth="1"/>
    <col min="12" max="12" width="15.42578125" customWidth="1"/>
    <col min="13" max="14" width="10.140625" bestFit="1" customWidth="1"/>
    <col min="15" max="15" width="13.85546875" customWidth="1"/>
    <col min="16" max="16" width="17" customWidth="1"/>
    <col min="17" max="17" width="18" bestFit="1" customWidth="1"/>
    <col min="18" max="18" width="25" bestFit="1" customWidth="1"/>
    <col min="19" max="19" width="13.42578125" bestFit="1" customWidth="1"/>
    <col min="20" max="20" width="13.140625" customWidth="1"/>
  </cols>
  <sheetData>
    <row r="1" spans="1:23" ht="18.75" x14ac:dyDescent="0.3">
      <c r="B1" s="171" t="s">
        <v>137</v>
      </c>
      <c r="C1" s="171"/>
      <c r="D1" s="171"/>
      <c r="E1" s="171"/>
      <c r="F1" s="171"/>
      <c r="J1" s="171" t="s">
        <v>138</v>
      </c>
      <c r="K1" s="171"/>
      <c r="P1" s="171" t="s">
        <v>139</v>
      </c>
      <c r="Q1" s="171"/>
      <c r="R1" s="171"/>
      <c r="S1" s="171"/>
      <c r="T1" s="171"/>
    </row>
    <row r="2" spans="1:23" ht="15.75" thickBot="1" x14ac:dyDescent="0.3">
      <c r="A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I2" s="2"/>
      <c r="J2" s="1" t="s">
        <v>6</v>
      </c>
      <c r="K2" s="1" t="s">
        <v>7</v>
      </c>
      <c r="L2" s="3"/>
      <c r="O2" s="4" t="s">
        <v>8</v>
      </c>
      <c r="P2" s="1" t="s">
        <v>9</v>
      </c>
      <c r="Q2" s="1" t="s">
        <v>2</v>
      </c>
      <c r="R2" s="1" t="s">
        <v>3</v>
      </c>
      <c r="S2" s="1" t="s">
        <v>4</v>
      </c>
      <c r="T2" s="1" t="s">
        <v>5</v>
      </c>
    </row>
    <row r="3" spans="1:23" ht="15.75" thickBot="1" x14ac:dyDescent="0.3">
      <c r="A3" s="5" t="s">
        <v>10</v>
      </c>
      <c r="B3" s="6" t="s">
        <v>11</v>
      </c>
      <c r="C3" s="7">
        <f>C4+C5+C6+C7+C8+C9+C10+C11+C12+C13+C16+C14</f>
        <v>232544.36</v>
      </c>
      <c r="D3" s="8" t="s">
        <v>12</v>
      </c>
      <c r="E3" s="7">
        <f>E4+E5+E6</f>
        <v>74210.11</v>
      </c>
      <c r="F3" s="9"/>
      <c r="I3" s="5" t="s">
        <v>10</v>
      </c>
      <c r="J3" s="10" t="s">
        <v>6</v>
      </c>
      <c r="K3" s="11">
        <f>K4+K5+K6+K7+K8+K9+K10+K11+K12+K13</f>
        <v>19076.14</v>
      </c>
      <c r="L3" s="12">
        <v>3637</v>
      </c>
      <c r="O3" s="12">
        <v>3637</v>
      </c>
      <c r="P3" s="13" t="s">
        <v>13</v>
      </c>
      <c r="Q3" s="14">
        <f>5081.9+213889.38</f>
        <v>218971.28</v>
      </c>
      <c r="R3" s="15" t="s">
        <v>14</v>
      </c>
      <c r="S3" s="16">
        <v>614.99</v>
      </c>
      <c r="T3" s="17">
        <v>3639</v>
      </c>
    </row>
    <row r="4" spans="1:23" ht="15.75" thickBot="1" x14ac:dyDescent="0.3">
      <c r="A4" s="18" t="s">
        <v>15</v>
      </c>
      <c r="B4" s="19"/>
      <c r="C4" s="20">
        <v>232544.36</v>
      </c>
      <c r="D4" s="21" t="s">
        <v>16</v>
      </c>
      <c r="E4" s="20">
        <f>74210.11-23716.47</f>
        <v>50493.64</v>
      </c>
      <c r="F4" s="17">
        <v>3713</v>
      </c>
      <c r="I4" s="18" t="s">
        <v>15</v>
      </c>
      <c r="J4" s="22" t="s">
        <v>133</v>
      </c>
      <c r="K4" s="14">
        <f>19735.54  -659.4</f>
        <v>19076.14</v>
      </c>
      <c r="L4" s="3" t="s">
        <v>18</v>
      </c>
      <c r="O4" s="23" t="s">
        <v>18</v>
      </c>
      <c r="P4" s="13" t="s">
        <v>19</v>
      </c>
      <c r="Q4" s="14">
        <v>39941.370000000003</v>
      </c>
      <c r="R4" s="15" t="s">
        <v>20</v>
      </c>
      <c r="S4" s="16">
        <v>70.459999999999994</v>
      </c>
      <c r="T4" s="17">
        <v>3639</v>
      </c>
    </row>
    <row r="5" spans="1:23" x14ac:dyDescent="0.25">
      <c r="A5" s="2" t="s">
        <v>0</v>
      </c>
      <c r="B5" s="24"/>
      <c r="C5" s="20"/>
      <c r="D5" s="15" t="s">
        <v>21</v>
      </c>
      <c r="E5" s="20">
        <v>4640.71</v>
      </c>
      <c r="F5" s="17">
        <v>3712</v>
      </c>
      <c r="I5" s="2"/>
      <c r="J5" s="25" t="s">
        <v>22</v>
      </c>
      <c r="K5" s="14"/>
      <c r="L5" s="3"/>
      <c r="O5" s="26" t="s">
        <v>0</v>
      </c>
      <c r="P5" s="15" t="s">
        <v>23</v>
      </c>
      <c r="Q5" s="14"/>
      <c r="R5" s="15" t="s">
        <v>24</v>
      </c>
      <c r="S5" s="16">
        <v>275.82</v>
      </c>
      <c r="T5" s="17">
        <v>3639</v>
      </c>
    </row>
    <row r="6" spans="1:23" x14ac:dyDescent="0.25">
      <c r="A6" s="2"/>
      <c r="B6" s="24"/>
      <c r="C6" s="20"/>
      <c r="D6" s="15" t="s">
        <v>25</v>
      </c>
      <c r="E6" s="20">
        <v>19075.759999999998</v>
      </c>
      <c r="F6" s="17">
        <v>3713</v>
      </c>
      <c r="I6" s="2"/>
      <c r="J6" s="25"/>
      <c r="K6" s="27"/>
      <c r="L6" s="3" t="s">
        <v>26</v>
      </c>
      <c r="O6" s="26" t="s">
        <v>0</v>
      </c>
      <c r="P6" s="15" t="s">
        <v>27</v>
      </c>
      <c r="Q6" s="14"/>
      <c r="R6" s="15" t="s">
        <v>28</v>
      </c>
      <c r="S6" s="16">
        <v>554.63</v>
      </c>
      <c r="T6" s="17">
        <v>3639</v>
      </c>
      <c r="U6" s="2"/>
      <c r="V6" s="2"/>
      <c r="W6" s="2"/>
    </row>
    <row r="7" spans="1:23" x14ac:dyDescent="0.25">
      <c r="B7" s="24"/>
      <c r="C7" s="20"/>
      <c r="D7" s="15" t="s">
        <v>29</v>
      </c>
      <c r="E7" s="20"/>
      <c r="F7" s="17"/>
      <c r="J7" s="25"/>
      <c r="K7" s="14"/>
      <c r="L7" s="3"/>
      <c r="O7" s="2" t="s">
        <v>0</v>
      </c>
      <c r="P7" s="15"/>
      <c r="Q7" s="14"/>
      <c r="R7" s="15" t="s">
        <v>30</v>
      </c>
      <c r="S7" s="16">
        <v>31551.3</v>
      </c>
      <c r="T7" s="17">
        <v>3639</v>
      </c>
    </row>
    <row r="8" spans="1:23" x14ac:dyDescent="0.25">
      <c r="A8" s="2"/>
      <c r="B8" s="24"/>
      <c r="C8" s="20"/>
      <c r="D8" s="15"/>
      <c r="E8" s="20"/>
      <c r="F8" s="28"/>
      <c r="I8" s="2"/>
      <c r="J8" s="25"/>
      <c r="K8" s="14"/>
      <c r="L8" s="29"/>
      <c r="P8" s="15"/>
      <c r="Q8" s="14"/>
      <c r="R8" s="15" t="s">
        <v>31</v>
      </c>
      <c r="S8" s="16">
        <v>2979.76</v>
      </c>
      <c r="T8" s="17">
        <v>3639</v>
      </c>
    </row>
    <row r="9" spans="1:23" x14ac:dyDescent="0.25">
      <c r="A9" s="2"/>
      <c r="B9" s="24"/>
      <c r="C9" s="20"/>
      <c r="D9" s="15"/>
      <c r="E9" s="20"/>
      <c r="F9" s="17"/>
      <c r="I9" s="2"/>
      <c r="J9" s="25"/>
      <c r="K9" s="14"/>
      <c r="L9" s="29"/>
      <c r="O9" s="4" t="s">
        <v>0</v>
      </c>
      <c r="P9" s="15"/>
      <c r="Q9" s="14"/>
      <c r="R9" s="15" t="s">
        <v>32</v>
      </c>
      <c r="S9" s="16">
        <v>11499.69</v>
      </c>
      <c r="T9" s="17">
        <v>3639</v>
      </c>
    </row>
    <row r="10" spans="1:23" x14ac:dyDescent="0.25">
      <c r="A10" s="2"/>
      <c r="B10" s="30"/>
      <c r="C10" s="20"/>
      <c r="D10" s="15"/>
      <c r="E10" s="20"/>
      <c r="F10" s="17"/>
      <c r="I10" s="2"/>
      <c r="J10" s="25"/>
      <c r="K10" s="14"/>
      <c r="L10" s="3"/>
      <c r="P10" s="15"/>
      <c r="Q10" s="14"/>
      <c r="R10" s="15" t="s">
        <v>33</v>
      </c>
      <c r="S10" s="16">
        <v>560.66999999999996</v>
      </c>
      <c r="T10" s="17">
        <v>3639</v>
      </c>
    </row>
    <row r="11" spans="1:23" x14ac:dyDescent="0.25">
      <c r="A11" s="2"/>
      <c r="B11" s="31"/>
      <c r="C11" s="20"/>
      <c r="D11" s="15"/>
      <c r="E11" s="20"/>
      <c r="F11" s="17"/>
      <c r="H11" s="32"/>
      <c r="I11" s="2"/>
      <c r="J11" s="25"/>
      <c r="K11" s="14"/>
      <c r="L11" s="3"/>
      <c r="P11" s="15"/>
      <c r="Q11" s="14"/>
      <c r="R11" s="15" t="s">
        <v>34</v>
      </c>
      <c r="S11" s="16">
        <v>6409.27</v>
      </c>
      <c r="T11" s="33">
        <v>3712</v>
      </c>
    </row>
    <row r="12" spans="1:23" x14ac:dyDescent="0.25">
      <c r="A12" s="2"/>
      <c r="B12" s="34"/>
      <c r="C12" s="20"/>
      <c r="D12" s="21"/>
      <c r="E12" s="20"/>
      <c r="F12" s="17"/>
      <c r="H12" s="32"/>
      <c r="I12" s="32"/>
      <c r="J12" s="25"/>
      <c r="K12" s="14"/>
      <c r="L12" s="3"/>
      <c r="P12" s="15"/>
      <c r="Q12" s="14"/>
      <c r="R12" s="15" t="s">
        <v>25</v>
      </c>
      <c r="S12" s="16">
        <v>659.4</v>
      </c>
      <c r="T12" s="33">
        <v>3637</v>
      </c>
    </row>
    <row r="13" spans="1:23" ht="15.75" thickBot="1" x14ac:dyDescent="0.3">
      <c r="A13" s="2"/>
      <c r="B13" s="24"/>
      <c r="C13" s="20"/>
      <c r="D13" s="15" t="s">
        <v>0</v>
      </c>
      <c r="E13" s="20">
        <v>0</v>
      </c>
      <c r="F13" s="17"/>
      <c r="J13" s="25"/>
      <c r="K13" s="14"/>
      <c r="O13" s="35"/>
      <c r="P13" s="15"/>
      <c r="Q13" s="14"/>
      <c r="R13" s="165" t="s">
        <v>132</v>
      </c>
      <c r="S13" s="16"/>
      <c r="T13" s="28"/>
    </row>
    <row r="14" spans="1:23" ht="15.75" thickBot="1" x14ac:dyDescent="0.3">
      <c r="A14" s="2"/>
      <c r="B14" s="36"/>
      <c r="C14" s="20"/>
      <c r="D14" s="15"/>
      <c r="E14" s="20"/>
      <c r="F14" s="17"/>
      <c r="I14" s="37" t="s">
        <v>35</v>
      </c>
      <c r="J14" s="10" t="s">
        <v>36</v>
      </c>
      <c r="K14" s="11">
        <f>SUM(K15:K19)</f>
        <v>22963.96</v>
      </c>
      <c r="L14" s="12">
        <v>3637</v>
      </c>
      <c r="P14" s="15"/>
      <c r="Q14" s="14"/>
      <c r="R14" s="15"/>
      <c r="S14" s="16"/>
      <c r="T14" s="17"/>
    </row>
    <row r="15" spans="1:23" ht="15.75" thickBot="1" x14ac:dyDescent="0.3">
      <c r="A15" s="2"/>
      <c r="B15" s="24"/>
      <c r="C15" s="20"/>
      <c r="D15" s="15"/>
      <c r="E15" s="20"/>
      <c r="F15" s="17"/>
      <c r="I15" s="38" t="s">
        <v>37</v>
      </c>
      <c r="J15" s="22" t="s">
        <v>17</v>
      </c>
      <c r="K15" s="14">
        <v>22963.96</v>
      </c>
      <c r="L15" s="3" t="s">
        <v>18</v>
      </c>
      <c r="P15" s="15"/>
      <c r="Q15" s="14">
        <v>0</v>
      </c>
      <c r="R15" s="15"/>
      <c r="S15" s="16"/>
      <c r="T15" s="17"/>
    </row>
    <row r="16" spans="1:23" ht="15.75" thickBot="1" x14ac:dyDescent="0.3">
      <c r="A16" s="2" t="s">
        <v>0</v>
      </c>
      <c r="B16" s="39" t="s">
        <v>38</v>
      </c>
      <c r="C16" s="40"/>
      <c r="D16" s="15"/>
      <c r="E16" s="20"/>
      <c r="F16" s="17"/>
      <c r="H16" s="41"/>
      <c r="I16" s="2"/>
      <c r="J16" s="25"/>
      <c r="K16" s="14"/>
      <c r="L16" s="3"/>
      <c r="P16" s="42" t="s">
        <v>39</v>
      </c>
      <c r="Q16" s="43">
        <f>SUM(Q3:Q15)</f>
        <v>258912.65</v>
      </c>
      <c r="R16" s="44" t="s">
        <v>39</v>
      </c>
      <c r="S16" s="45">
        <f>SUM(S3:S15)</f>
        <v>55175.99</v>
      </c>
      <c r="T16" s="46"/>
    </row>
    <row r="17" spans="1:20" x14ac:dyDescent="0.25">
      <c r="A17" s="5" t="s">
        <v>40</v>
      </c>
      <c r="B17" s="6" t="s">
        <v>41</v>
      </c>
      <c r="C17" s="7">
        <f>C18</f>
        <v>67157.73</v>
      </c>
      <c r="D17" s="8" t="s">
        <v>42</v>
      </c>
      <c r="E17" s="47">
        <f>E18+E19+E20</f>
        <v>24832.020000000004</v>
      </c>
      <c r="F17" s="48"/>
      <c r="J17" s="25"/>
      <c r="K17" s="14"/>
      <c r="L17" s="3"/>
      <c r="P17" s="49" t="s">
        <v>43</v>
      </c>
      <c r="Q17" s="50"/>
      <c r="R17" s="51" t="s">
        <v>44</v>
      </c>
      <c r="S17" s="52">
        <f>S3+S4+S5+S6+S7+S8+S9+S10</f>
        <v>48107.32</v>
      </c>
      <c r="T17" s="53" t="s">
        <v>45</v>
      </c>
    </row>
    <row r="18" spans="1:20" ht="15.75" thickBot="1" x14ac:dyDescent="0.3">
      <c r="A18" s="18" t="s">
        <v>46</v>
      </c>
      <c r="B18" s="54"/>
      <c r="C18" s="20">
        <v>67157.73</v>
      </c>
      <c r="D18" s="15" t="s">
        <v>16</v>
      </c>
      <c r="E18" s="20">
        <f>24832.02-7200.53</f>
        <v>17631.490000000002</v>
      </c>
      <c r="F18" s="17">
        <v>3713</v>
      </c>
      <c r="I18" s="2"/>
      <c r="J18" s="25"/>
      <c r="K18" s="14"/>
      <c r="L18" s="3"/>
      <c r="O18" s="172" t="s">
        <v>47</v>
      </c>
      <c r="P18" s="172"/>
      <c r="Q18" s="55"/>
      <c r="R18" s="56" t="s">
        <v>48</v>
      </c>
      <c r="S18" s="52">
        <f>S11</f>
        <v>6409.27</v>
      </c>
      <c r="T18" s="53" t="s">
        <v>49</v>
      </c>
    </row>
    <row r="19" spans="1:20" ht="18" thickBot="1" x14ac:dyDescent="0.35">
      <c r="A19" s="2"/>
      <c r="B19" s="25"/>
      <c r="C19" s="20" t="s">
        <v>50</v>
      </c>
      <c r="D19" s="15" t="s">
        <v>34</v>
      </c>
      <c r="E19" s="20">
        <v>300.08</v>
      </c>
      <c r="F19" s="17">
        <v>3712</v>
      </c>
      <c r="I19" s="2"/>
      <c r="J19" s="25"/>
      <c r="K19" s="14"/>
      <c r="L19" s="3"/>
      <c r="O19" s="57"/>
      <c r="P19" s="58" t="s">
        <v>51</v>
      </c>
      <c r="Q19" s="59">
        <f>Q16+Q17+Q18</f>
        <v>258912.65</v>
      </c>
      <c r="R19" s="60" t="s">
        <v>52</v>
      </c>
      <c r="S19" s="61">
        <f>S12</f>
        <v>659.4</v>
      </c>
      <c r="T19" s="62" t="s">
        <v>53</v>
      </c>
    </row>
    <row r="20" spans="1:20" ht="15.75" thickBot="1" x14ac:dyDescent="0.3">
      <c r="B20" s="25"/>
      <c r="C20" s="20"/>
      <c r="D20" s="15" t="s">
        <v>54</v>
      </c>
      <c r="E20" s="20">
        <v>6900.45</v>
      </c>
      <c r="F20" s="17">
        <v>3713</v>
      </c>
      <c r="I20" s="63" t="s">
        <v>55</v>
      </c>
      <c r="J20" s="64" t="s">
        <v>56</v>
      </c>
      <c r="K20" s="11">
        <f>K21</f>
        <v>11687.94</v>
      </c>
      <c r="L20" s="65">
        <v>3637</v>
      </c>
      <c r="O20" s="66"/>
      <c r="P20" s="67" t="s">
        <v>57</v>
      </c>
      <c r="Q20" s="68">
        <f>Q19-S16-Q18</f>
        <v>203736.66</v>
      </c>
      <c r="R20" s="173" t="s">
        <v>58</v>
      </c>
      <c r="S20" s="174"/>
      <c r="T20" s="175"/>
    </row>
    <row r="21" spans="1:20" ht="15.75" thickBot="1" x14ac:dyDescent="0.3">
      <c r="A21" s="2" t="s">
        <v>59</v>
      </c>
      <c r="B21" s="69" t="s">
        <v>60</v>
      </c>
      <c r="C21" s="70">
        <f>C22</f>
        <v>0</v>
      </c>
      <c r="D21" s="71" t="s">
        <v>60</v>
      </c>
      <c r="E21" s="70">
        <f>E22+E23+E24</f>
        <v>0</v>
      </c>
      <c r="F21" s="48"/>
      <c r="I21" s="72" t="s">
        <v>46</v>
      </c>
      <c r="J21" s="73" t="s">
        <v>17</v>
      </c>
      <c r="K21" s="74">
        <v>11687.94</v>
      </c>
      <c r="L21" s="3"/>
      <c r="P21" s="57"/>
      <c r="Q21" s="57"/>
      <c r="R21" s="57"/>
      <c r="S21" s="75"/>
      <c r="T21" s="76"/>
    </row>
    <row r="22" spans="1:20" ht="15.75" thickBot="1" x14ac:dyDescent="0.3">
      <c r="A22" s="2"/>
      <c r="B22" s="25"/>
      <c r="C22" s="20"/>
      <c r="D22" s="15" t="s">
        <v>16</v>
      </c>
      <c r="E22" s="20"/>
      <c r="F22" s="28"/>
      <c r="I22" s="77" t="s">
        <v>61</v>
      </c>
      <c r="J22" s="10" t="s">
        <v>62</v>
      </c>
      <c r="K22" s="78">
        <f>K23</f>
        <v>31062.22</v>
      </c>
      <c r="L22" s="12">
        <v>3637</v>
      </c>
      <c r="M22" s="41" t="s">
        <v>0</v>
      </c>
      <c r="Q22" s="79" t="s">
        <v>63</v>
      </c>
      <c r="R22" s="79"/>
      <c r="S22" s="80">
        <f>S11</f>
        <v>6409.27</v>
      </c>
      <c r="T22" s="41"/>
    </row>
    <row r="23" spans="1:20" ht="15.75" thickBot="1" x14ac:dyDescent="0.3">
      <c r="A23" s="2"/>
      <c r="B23" s="25"/>
      <c r="C23" s="20"/>
      <c r="D23" s="15" t="s">
        <v>34</v>
      </c>
      <c r="E23" s="20"/>
      <c r="F23" s="28"/>
      <c r="I23" s="60" t="s">
        <v>64</v>
      </c>
      <c r="J23" s="22" t="s">
        <v>17</v>
      </c>
      <c r="K23" s="14">
        <v>31062.22</v>
      </c>
      <c r="L23" s="3" t="s">
        <v>18</v>
      </c>
      <c r="P23" s="2"/>
      <c r="Q23" s="2"/>
      <c r="R23" s="2"/>
    </row>
    <row r="24" spans="1:20" ht="15" customHeight="1" thickBot="1" x14ac:dyDescent="0.3">
      <c r="A24" s="2" t="s">
        <v>0</v>
      </c>
      <c r="B24" s="25"/>
      <c r="C24" s="20"/>
      <c r="D24" s="15" t="s">
        <v>65</v>
      </c>
      <c r="E24" s="20"/>
      <c r="F24" s="17"/>
      <c r="I24" s="81" t="s">
        <v>66</v>
      </c>
      <c r="J24" s="82" t="s">
        <v>67</v>
      </c>
      <c r="K24" s="11">
        <f>K25</f>
        <v>0</v>
      </c>
      <c r="L24" s="12">
        <v>3637</v>
      </c>
    </row>
    <row r="25" spans="1:20" ht="15.75" thickBot="1" x14ac:dyDescent="0.3">
      <c r="A25" s="5" t="s">
        <v>68</v>
      </c>
      <c r="B25" s="6" t="s">
        <v>69</v>
      </c>
      <c r="C25" s="7">
        <f>C26+C27+C28</f>
        <v>214204.35</v>
      </c>
      <c r="D25" s="8" t="s">
        <v>70</v>
      </c>
      <c r="E25" s="47">
        <f>SUM(E26:E29)</f>
        <v>82524.50999999998</v>
      </c>
      <c r="F25" s="48"/>
      <c r="I25" s="83" t="s">
        <v>71</v>
      </c>
      <c r="J25" s="25"/>
      <c r="K25" s="14"/>
      <c r="L25" s="2" t="s">
        <v>18</v>
      </c>
      <c r="O25" s="84"/>
      <c r="P25" s="84"/>
      <c r="Q25" s="84"/>
      <c r="R25" s="84"/>
      <c r="S25" s="84"/>
      <c r="T25" s="84"/>
    </row>
    <row r="26" spans="1:20" ht="15.75" thickBot="1" x14ac:dyDescent="0.3">
      <c r="A26" s="18" t="s">
        <v>72</v>
      </c>
      <c r="B26" s="54"/>
      <c r="C26" s="20">
        <v>214204.35</v>
      </c>
      <c r="D26" s="15" t="s">
        <v>16</v>
      </c>
      <c r="E26" s="20">
        <f>82524.51-33776.33</f>
        <v>48748.179999999993</v>
      </c>
      <c r="F26" s="17">
        <v>3713</v>
      </c>
      <c r="I26" s="85" t="s">
        <v>73</v>
      </c>
      <c r="J26" s="86" t="s">
        <v>74</v>
      </c>
      <c r="K26" s="87">
        <v>0</v>
      </c>
      <c r="L26" s="12">
        <v>3637</v>
      </c>
      <c r="N26" s="41"/>
      <c r="O26" s="84"/>
      <c r="P26" s="88"/>
      <c r="Q26" s="88">
        <f>K34+K35+K49</f>
        <v>170238.81999999998</v>
      </c>
      <c r="R26" s="88">
        <f>Q26-Q16</f>
        <v>-88673.830000000016</v>
      </c>
      <c r="S26" s="84"/>
      <c r="T26" s="84"/>
    </row>
    <row r="27" spans="1:20" ht="15.75" thickBot="1" x14ac:dyDescent="0.3">
      <c r="B27" s="25"/>
      <c r="C27" s="21"/>
      <c r="D27" s="15" t="s">
        <v>34</v>
      </c>
      <c r="E27" s="20">
        <v>6025.23</v>
      </c>
      <c r="F27" s="17">
        <v>3712</v>
      </c>
      <c r="I27" s="18" t="s">
        <v>75</v>
      </c>
      <c r="J27" s="22" t="s">
        <v>17</v>
      </c>
      <c r="K27" s="14"/>
      <c r="L27" s="3" t="s">
        <v>18</v>
      </c>
      <c r="R27" s="41"/>
    </row>
    <row r="28" spans="1:20" x14ac:dyDescent="0.25">
      <c r="A28" s="2" t="s">
        <v>0</v>
      </c>
      <c r="B28" s="25"/>
      <c r="C28" s="21"/>
      <c r="D28" s="15" t="s">
        <v>54</v>
      </c>
      <c r="E28" s="20">
        <v>27751.1</v>
      </c>
      <c r="F28" s="17">
        <v>3713</v>
      </c>
      <c r="J28" s="25"/>
      <c r="K28" s="14"/>
      <c r="Q28" s="41">
        <f>K33+K34+K35+K47+K48+K49</f>
        <v>340159.71</v>
      </c>
      <c r="R28" s="41">
        <f>Q28-Q16</f>
        <v>81247.060000000027</v>
      </c>
    </row>
    <row r="29" spans="1:20" ht="15.75" thickBot="1" x14ac:dyDescent="0.3">
      <c r="A29" s="2"/>
      <c r="B29" s="54"/>
      <c r="C29" s="21"/>
      <c r="D29" s="15" t="s">
        <v>29</v>
      </c>
      <c r="E29" s="20"/>
      <c r="F29" s="17"/>
      <c r="J29" s="54"/>
      <c r="K29" s="89"/>
    </row>
    <row r="30" spans="1:20" ht="15.75" thickBot="1" x14ac:dyDescent="0.3">
      <c r="A30" s="5" t="s">
        <v>76</v>
      </c>
      <c r="B30" s="6" t="s">
        <v>77</v>
      </c>
      <c r="C30" s="7">
        <f>C31+C32+C33</f>
        <v>234126.3</v>
      </c>
      <c r="D30" s="8" t="s">
        <v>78</v>
      </c>
      <c r="E30" s="7">
        <f>SUM(E31:E34)</f>
        <v>95380.82</v>
      </c>
      <c r="F30" s="48"/>
      <c r="I30" s="5" t="s">
        <v>79</v>
      </c>
      <c r="J30" s="90" t="s">
        <v>80</v>
      </c>
      <c r="K30" s="11">
        <f>K31</f>
        <v>0</v>
      </c>
      <c r="L30" s="12">
        <v>3637</v>
      </c>
    </row>
    <row r="31" spans="1:20" ht="15.75" thickBot="1" x14ac:dyDescent="0.3">
      <c r="A31" s="18" t="s">
        <v>64</v>
      </c>
      <c r="B31" s="91"/>
      <c r="C31" s="20">
        <v>234126.3</v>
      </c>
      <c r="D31" s="15" t="s">
        <v>16</v>
      </c>
      <c r="E31" s="20">
        <f>95380.82-42011.36</f>
        <v>53369.460000000006</v>
      </c>
      <c r="F31" s="17">
        <v>3713</v>
      </c>
      <c r="I31" s="18" t="s">
        <v>81</v>
      </c>
      <c r="J31" s="22" t="s">
        <v>17</v>
      </c>
      <c r="K31" s="14"/>
      <c r="L31" s="3" t="s">
        <v>18</v>
      </c>
    </row>
    <row r="32" spans="1:20" ht="15.75" thickBot="1" x14ac:dyDescent="0.3">
      <c r="B32" s="25"/>
      <c r="C32" s="20"/>
      <c r="D32" s="15" t="s">
        <v>82</v>
      </c>
      <c r="E32" s="20">
        <v>12938.8</v>
      </c>
      <c r="F32" s="17">
        <v>3712</v>
      </c>
      <c r="J32" s="92"/>
      <c r="K32" s="93"/>
    </row>
    <row r="33" spans="1:18" ht="15.75" thickBot="1" x14ac:dyDescent="0.3">
      <c r="A33" s="2"/>
      <c r="B33" s="94"/>
      <c r="C33" s="40"/>
      <c r="D33" s="15" t="s">
        <v>25</v>
      </c>
      <c r="E33" s="20">
        <v>29072.560000000001</v>
      </c>
      <c r="F33" s="17">
        <v>3713</v>
      </c>
      <c r="H33" t="s">
        <v>0</v>
      </c>
      <c r="I33" s="5" t="s">
        <v>10</v>
      </c>
      <c r="J33" s="95" t="s">
        <v>83</v>
      </c>
      <c r="K33" s="96">
        <f>169261.49-1299.97</f>
        <v>167961.52</v>
      </c>
      <c r="L33" s="176">
        <v>339197010000</v>
      </c>
      <c r="M33" s="177"/>
      <c r="N33" s="41"/>
      <c r="O33" s="35"/>
      <c r="R33" s="41">
        <f>K54-Q19</f>
        <v>81247.059999999969</v>
      </c>
    </row>
    <row r="34" spans="1:18" ht="15.75" thickBot="1" x14ac:dyDescent="0.3">
      <c r="B34" s="25"/>
      <c r="C34" s="20"/>
      <c r="D34" s="15" t="s">
        <v>29</v>
      </c>
      <c r="E34" s="20"/>
      <c r="F34" s="97"/>
      <c r="H34" t="s">
        <v>0</v>
      </c>
      <c r="I34" s="18" t="s">
        <v>15</v>
      </c>
      <c r="J34" s="98" t="s">
        <v>84</v>
      </c>
      <c r="K34" s="99">
        <f>E58</f>
        <v>84789.159999999989</v>
      </c>
      <c r="L34" s="3" t="s">
        <v>18</v>
      </c>
      <c r="O34" s="35"/>
      <c r="R34">
        <v>80587.66</v>
      </c>
    </row>
    <row r="35" spans="1:18" ht="15.75" thickBot="1" x14ac:dyDescent="0.3">
      <c r="A35" s="5" t="s">
        <v>85</v>
      </c>
      <c r="B35" s="6" t="s">
        <v>86</v>
      </c>
      <c r="C35" s="47">
        <f>C36</f>
        <v>42420.5</v>
      </c>
      <c r="D35" s="8" t="s">
        <v>87</v>
      </c>
      <c r="E35" s="47">
        <f>SUM(E36:E38)</f>
        <v>0</v>
      </c>
      <c r="F35" s="48"/>
      <c r="I35" s="2"/>
      <c r="J35" s="100" t="s">
        <v>88</v>
      </c>
      <c r="K35" s="101">
        <f>K3+K14+K20+K22+K24+K26+K30</f>
        <v>84790.260000000009</v>
      </c>
      <c r="L35" s="3" t="s">
        <v>89</v>
      </c>
      <c r="O35" s="35">
        <f>79403.25-K35</f>
        <v>-5387.0100000000093</v>
      </c>
      <c r="P35" s="35"/>
      <c r="R35" s="41">
        <f>R33-R34</f>
        <v>659.39999999996508</v>
      </c>
    </row>
    <row r="36" spans="1:18" ht="15.75" thickBot="1" x14ac:dyDescent="0.3">
      <c r="A36" s="102" t="s">
        <v>71</v>
      </c>
      <c r="B36" s="54"/>
      <c r="C36" s="40">
        <v>42420.5</v>
      </c>
      <c r="D36" s="15" t="s">
        <v>16</v>
      </c>
      <c r="E36" s="20"/>
      <c r="F36" s="17">
        <v>3713</v>
      </c>
      <c r="I36" s="2"/>
      <c r="J36" s="103"/>
      <c r="K36" s="104">
        <v>0</v>
      </c>
      <c r="L36" s="3"/>
      <c r="P36" s="35"/>
    </row>
    <row r="37" spans="1:18" ht="15.75" thickBot="1" x14ac:dyDescent="0.3">
      <c r="B37" s="25"/>
      <c r="C37" s="20"/>
      <c r="D37" s="15" t="s">
        <v>34</v>
      </c>
      <c r="E37" s="20"/>
      <c r="F37" s="17">
        <v>3712</v>
      </c>
      <c r="I37" s="2"/>
      <c r="J37" s="105"/>
      <c r="K37" s="104">
        <f>K35-K36</f>
        <v>84790.260000000009</v>
      </c>
      <c r="L37" s="3"/>
      <c r="M37" s="41"/>
    </row>
    <row r="38" spans="1:18" ht="15.75" thickBot="1" x14ac:dyDescent="0.3">
      <c r="B38" s="25"/>
      <c r="C38" s="20"/>
      <c r="D38" s="15" t="s">
        <v>54</v>
      </c>
      <c r="E38" s="20"/>
      <c r="F38" s="17">
        <v>3713</v>
      </c>
      <c r="J38" s="106"/>
      <c r="K38" s="104">
        <v>0</v>
      </c>
      <c r="M38" s="41"/>
      <c r="N38" s="41"/>
    </row>
    <row r="39" spans="1:18" ht="15.75" thickBot="1" x14ac:dyDescent="0.3">
      <c r="A39" s="5" t="s">
        <v>90</v>
      </c>
      <c r="B39" s="6" t="s">
        <v>91</v>
      </c>
      <c r="C39" s="47">
        <f>C40</f>
        <v>0</v>
      </c>
      <c r="D39" s="8" t="s">
        <v>92</v>
      </c>
      <c r="E39" s="47">
        <f>SUM(E40:E42)</f>
        <v>0</v>
      </c>
      <c r="F39" s="48"/>
      <c r="J39" s="167" t="s">
        <v>93</v>
      </c>
      <c r="K39" s="168"/>
      <c r="L39" s="3"/>
    </row>
    <row r="40" spans="1:18" ht="15.75" thickBot="1" x14ac:dyDescent="0.3">
      <c r="A40" s="18" t="s">
        <v>94</v>
      </c>
      <c r="B40" s="54"/>
      <c r="C40" s="40"/>
      <c r="D40" s="15" t="s">
        <v>16</v>
      </c>
      <c r="E40" s="40"/>
      <c r="F40" s="17">
        <v>3713</v>
      </c>
      <c r="I40" s="37" t="s">
        <v>35</v>
      </c>
      <c r="J40" s="10" t="s">
        <v>95</v>
      </c>
      <c r="K40" s="107">
        <f>K41</f>
        <v>0</v>
      </c>
      <c r="L40" s="12">
        <v>3637</v>
      </c>
    </row>
    <row r="41" spans="1:18" ht="15.75" thickBot="1" x14ac:dyDescent="0.3">
      <c r="B41" s="25"/>
      <c r="C41" s="20"/>
      <c r="D41" s="15" t="s">
        <v>34</v>
      </c>
      <c r="E41" s="20"/>
      <c r="F41" s="17">
        <v>3712</v>
      </c>
      <c r="I41" s="18" t="s">
        <v>72</v>
      </c>
      <c r="J41" s="54"/>
      <c r="K41" s="14"/>
      <c r="L41" s="3" t="s">
        <v>18</v>
      </c>
    </row>
    <row r="42" spans="1:18" ht="15.75" thickBot="1" x14ac:dyDescent="0.3">
      <c r="A42" s="2" t="s">
        <v>0</v>
      </c>
      <c r="B42" s="25"/>
      <c r="C42" s="20"/>
      <c r="D42" s="15" t="s">
        <v>25</v>
      </c>
      <c r="E42" s="20"/>
      <c r="F42" s="17">
        <v>3713</v>
      </c>
      <c r="J42" s="25"/>
      <c r="K42" s="14"/>
      <c r="L42" s="3"/>
    </row>
    <row r="43" spans="1:18" ht="15.75" thickBot="1" x14ac:dyDescent="0.3">
      <c r="A43" s="51" t="s">
        <v>96</v>
      </c>
      <c r="B43" s="108" t="s">
        <v>97</v>
      </c>
      <c r="C43" s="47">
        <f>C44</f>
        <v>4859.18</v>
      </c>
      <c r="D43" s="109" t="s">
        <v>98</v>
      </c>
      <c r="E43" s="47">
        <f>SUM(E44:E46)</f>
        <v>1694.5499999999997</v>
      </c>
      <c r="F43" s="110"/>
      <c r="H43" t="s">
        <v>0</v>
      </c>
      <c r="I43" s="51" t="s">
        <v>99</v>
      </c>
      <c r="J43" s="90" t="s">
        <v>100</v>
      </c>
      <c r="K43" s="107">
        <f>K44</f>
        <v>0</v>
      </c>
      <c r="L43" s="12">
        <v>3637</v>
      </c>
      <c r="Q43" s="111"/>
      <c r="R43" s="111"/>
    </row>
    <row r="44" spans="1:18" ht="15.75" thickBot="1" x14ac:dyDescent="0.3">
      <c r="A44" s="112" t="s">
        <v>101</v>
      </c>
      <c r="B44" s="54"/>
      <c r="C44" s="113">
        <v>4859.18</v>
      </c>
      <c r="D44" s="15" t="s">
        <v>16</v>
      </c>
      <c r="E44" s="20">
        <f>1694.55-617.69</f>
        <v>1076.8599999999999</v>
      </c>
      <c r="F44" s="17">
        <v>3713</v>
      </c>
      <c r="I44" s="112" t="s">
        <v>64</v>
      </c>
      <c r="J44" s="54"/>
      <c r="K44" s="14"/>
      <c r="L44" s="3" t="s">
        <v>18</v>
      </c>
    </row>
    <row r="45" spans="1:18" x14ac:dyDescent="0.25">
      <c r="B45" s="25"/>
      <c r="C45" s="113"/>
      <c r="D45" s="15" t="s">
        <v>34</v>
      </c>
      <c r="E45" s="20">
        <v>28.28</v>
      </c>
      <c r="F45" s="17">
        <v>3712</v>
      </c>
      <c r="I45" s="5" t="s">
        <v>40</v>
      </c>
      <c r="J45" s="90" t="s">
        <v>102</v>
      </c>
      <c r="K45" s="107">
        <f>K46</f>
        <v>0</v>
      </c>
      <c r="L45" s="3" t="s">
        <v>0</v>
      </c>
    </row>
    <row r="46" spans="1:18" ht="15.75" thickBot="1" x14ac:dyDescent="0.3">
      <c r="A46" t="s">
        <v>0</v>
      </c>
      <c r="B46" s="25"/>
      <c r="C46" s="113"/>
      <c r="D46" s="15" t="s">
        <v>25</v>
      </c>
      <c r="E46" s="20">
        <v>589.41</v>
      </c>
      <c r="F46" s="97">
        <v>3713</v>
      </c>
      <c r="I46" s="38" t="s">
        <v>46</v>
      </c>
      <c r="J46" s="54" t="s">
        <v>0</v>
      </c>
      <c r="K46" s="93">
        <v>0</v>
      </c>
      <c r="P46" s="41"/>
      <c r="R46" s="114"/>
    </row>
    <row r="47" spans="1:18" ht="15.75" thickBot="1" x14ac:dyDescent="0.3">
      <c r="A47" s="5" t="s">
        <v>79</v>
      </c>
      <c r="B47" s="108" t="s">
        <v>103</v>
      </c>
      <c r="C47" s="47">
        <f>C48+C50</f>
        <v>4170.8900000000003</v>
      </c>
      <c r="D47" s="109" t="s">
        <v>104</v>
      </c>
      <c r="E47" s="47">
        <f>E48+E49+E50</f>
        <v>883.29</v>
      </c>
      <c r="F47" s="110"/>
      <c r="I47" s="5" t="s">
        <v>10</v>
      </c>
      <c r="J47" s="95" t="s">
        <v>105</v>
      </c>
      <c r="K47" s="115">
        <v>1299.97</v>
      </c>
      <c r="L47" s="169">
        <v>319113990100</v>
      </c>
      <c r="M47" s="170"/>
      <c r="O47" s="35"/>
      <c r="P47" s="41"/>
      <c r="Q47" s="41"/>
      <c r="R47" s="41"/>
    </row>
    <row r="48" spans="1:18" ht="15.75" thickBot="1" x14ac:dyDescent="0.3">
      <c r="A48" s="18" t="s">
        <v>81</v>
      </c>
      <c r="B48" s="54"/>
      <c r="C48" s="116">
        <v>4170.8900000000003</v>
      </c>
      <c r="D48" s="15" t="s">
        <v>16</v>
      </c>
      <c r="E48" s="21">
        <f>883.29-405.03</f>
        <v>478.26</v>
      </c>
      <c r="F48" s="17">
        <v>3713</v>
      </c>
      <c r="G48" s="117"/>
      <c r="H48" s="41"/>
      <c r="I48" s="18" t="s">
        <v>15</v>
      </c>
      <c r="J48" s="98" t="s">
        <v>106</v>
      </c>
      <c r="K48" s="118">
        <f>S12</f>
        <v>659.4</v>
      </c>
      <c r="L48" s="3" t="s">
        <v>18</v>
      </c>
      <c r="O48" s="41"/>
      <c r="P48" s="41"/>
    </row>
    <row r="49" spans="1:16" ht="15.75" thickBot="1" x14ac:dyDescent="0.3">
      <c r="B49" s="25"/>
      <c r="C49" s="113"/>
      <c r="D49" s="15" t="s">
        <v>34</v>
      </c>
      <c r="E49" s="21">
        <v>29.99</v>
      </c>
      <c r="F49" s="17">
        <v>3712</v>
      </c>
      <c r="G49" s="41"/>
      <c r="J49" s="69" t="s">
        <v>107</v>
      </c>
      <c r="K49" s="119">
        <v>659.4</v>
      </c>
      <c r="L49" s="120" t="s">
        <v>18</v>
      </c>
      <c r="O49" s="41"/>
    </row>
    <row r="50" spans="1:16" ht="15.75" thickBot="1" x14ac:dyDescent="0.3">
      <c r="B50" s="25"/>
      <c r="C50" s="113">
        <v>0</v>
      </c>
      <c r="D50" s="15" t="s">
        <v>25</v>
      </c>
      <c r="E50" s="21">
        <v>375.04</v>
      </c>
      <c r="F50" s="17">
        <v>3713</v>
      </c>
      <c r="G50" s="41"/>
      <c r="J50" s="49"/>
      <c r="K50" s="104"/>
      <c r="O50" s="41"/>
    </row>
    <row r="51" spans="1:16" x14ac:dyDescent="0.25">
      <c r="A51" s="5" t="s">
        <v>59</v>
      </c>
      <c r="B51" s="121" t="s">
        <v>108</v>
      </c>
      <c r="C51" s="122">
        <f>C52+C53+C54</f>
        <v>16610.060000000001</v>
      </c>
      <c r="D51" s="123" t="s">
        <v>109</v>
      </c>
      <c r="E51" s="124">
        <f>E54+E53+E52</f>
        <v>3374.99</v>
      </c>
      <c r="F51" s="125"/>
      <c r="G51" s="41"/>
      <c r="I51" s="67"/>
      <c r="J51" s="67" t="s">
        <v>110</v>
      </c>
      <c r="K51" s="104">
        <f>K35+K49</f>
        <v>85449.66</v>
      </c>
      <c r="L51" s="106">
        <f>K51+K52</f>
        <v>254711.15</v>
      </c>
      <c r="O51" s="41"/>
      <c r="P51" s="35"/>
    </row>
    <row r="52" spans="1:16" ht="15.75" thickBot="1" x14ac:dyDescent="0.3">
      <c r="A52" s="38" t="s">
        <v>111</v>
      </c>
      <c r="B52" s="54"/>
      <c r="C52" s="126">
        <v>16610.060000000001</v>
      </c>
      <c r="D52" s="15" t="s">
        <v>16</v>
      </c>
      <c r="E52" s="126">
        <f>3374.99-1129.85</f>
        <v>2245.14</v>
      </c>
      <c r="F52" s="15"/>
      <c r="G52" s="41"/>
      <c r="I52" s="67"/>
      <c r="J52" s="67" t="s">
        <v>112</v>
      </c>
      <c r="K52" s="104">
        <f>K33+K47</f>
        <v>169261.49</v>
      </c>
      <c r="L52" s="106"/>
      <c r="O52" s="35"/>
    </row>
    <row r="53" spans="1:16" x14ac:dyDescent="0.25">
      <c r="B53" s="15"/>
      <c r="C53" s="126"/>
      <c r="D53" s="15" t="s">
        <v>34</v>
      </c>
      <c r="E53" s="126">
        <v>105.01</v>
      </c>
      <c r="F53" s="15"/>
      <c r="G53" s="41"/>
      <c r="I53" s="49"/>
      <c r="J53" s="49" t="s">
        <v>113</v>
      </c>
      <c r="K53" s="104">
        <f>K34+K48</f>
        <v>85448.559999999983</v>
      </c>
      <c r="L53" s="106"/>
    </row>
    <row r="54" spans="1:16" x14ac:dyDescent="0.25">
      <c r="B54" s="15"/>
      <c r="C54" s="126"/>
      <c r="D54" s="15" t="s">
        <v>25</v>
      </c>
      <c r="E54" s="126">
        <v>1024.8399999999999</v>
      </c>
      <c r="F54" s="15"/>
      <c r="I54" s="127"/>
      <c r="J54" s="127" t="s">
        <v>114</v>
      </c>
      <c r="K54" s="104">
        <f>K51+K52+K53</f>
        <v>340159.70999999996</v>
      </c>
      <c r="L54" s="106"/>
    </row>
    <row r="55" spans="1:16" ht="15.75" thickBot="1" x14ac:dyDescent="0.3">
      <c r="B55" s="42" t="s">
        <v>39</v>
      </c>
      <c r="C55" s="128">
        <f>C3+C17+C25+C30+C35+C39+C47+C51+C43+C21</f>
        <v>816093.37000000011</v>
      </c>
      <c r="D55" s="44" t="s">
        <v>39</v>
      </c>
      <c r="E55" s="129">
        <f>E3+E17+E21+E25+E30+E43+E47+E35+E51</f>
        <v>282900.28999999992</v>
      </c>
      <c r="F55" s="130"/>
      <c r="J55" s="127"/>
      <c r="K55" s="131">
        <f>K54-K53</f>
        <v>254711.14999999997</v>
      </c>
      <c r="L55" s="132" t="s">
        <v>115</v>
      </c>
    </row>
    <row r="56" spans="1:16" ht="15.75" thickBot="1" x14ac:dyDescent="0.3">
      <c r="B56" s="133" t="s">
        <v>116</v>
      </c>
      <c r="C56" s="134">
        <f>C55-E55</f>
        <v>533193.08000000019</v>
      </c>
      <c r="D56" s="135" t="s">
        <v>117</v>
      </c>
      <c r="E56" s="136">
        <f>E4+E18+E22+E26+E31+E44+E48+E36+E52</f>
        <v>174043.03000000003</v>
      </c>
      <c r="F56" s="137" t="s">
        <v>118</v>
      </c>
      <c r="J56" s="2" t="s">
        <v>119</v>
      </c>
      <c r="K56" s="131"/>
    </row>
    <row r="57" spans="1:16" ht="16.5" thickBot="1" x14ac:dyDescent="0.3">
      <c r="A57" s="138"/>
      <c r="B57" s="67" t="s">
        <v>120</v>
      </c>
      <c r="C57" s="139">
        <f>C56+Q18</f>
        <v>533193.08000000019</v>
      </c>
      <c r="D57" s="140" t="s">
        <v>121</v>
      </c>
      <c r="E57" s="141">
        <f>E5+E19+E23+E27+E32+E37+E41+E45+E49+E53</f>
        <v>24068.1</v>
      </c>
      <c r="F57" s="142" t="s">
        <v>49</v>
      </c>
      <c r="K57" s="131"/>
    </row>
    <row r="58" spans="1:16" ht="15.75" thickBot="1" x14ac:dyDescent="0.3">
      <c r="A58" s="143"/>
      <c r="B58" s="144"/>
      <c r="C58" s="145"/>
      <c r="D58" s="146" t="s">
        <v>122</v>
      </c>
      <c r="E58" s="147">
        <f>E6+E20+E24+E28+E33+E50+E54+E46+E42+E38</f>
        <v>84789.159999999989</v>
      </c>
      <c r="F58" s="148" t="s">
        <v>53</v>
      </c>
      <c r="J58" s="41"/>
      <c r="K58" s="149"/>
      <c r="L58" s="150"/>
    </row>
    <row r="59" spans="1:16" ht="15.75" thickBot="1" x14ac:dyDescent="0.3">
      <c r="B59" s="151" t="s">
        <v>123</v>
      </c>
      <c r="C59" s="145"/>
      <c r="D59" s="57"/>
      <c r="E59" s="152"/>
      <c r="F59" s="153"/>
      <c r="J59" s="41"/>
      <c r="K59" s="131"/>
    </row>
    <row r="60" spans="1:16" x14ac:dyDescent="0.25">
      <c r="C60" s="154"/>
      <c r="D60" s="155" t="s">
        <v>124</v>
      </c>
      <c r="E60" s="156">
        <f>C3+K3+K33+K47+K49</f>
        <v>421541.39</v>
      </c>
      <c r="F60" s="153"/>
      <c r="K60" s="131"/>
      <c r="P60" t="s">
        <v>0</v>
      </c>
    </row>
    <row r="61" spans="1:16" x14ac:dyDescent="0.25">
      <c r="B61" s="35">
        <f>D68</f>
        <v>0</v>
      </c>
      <c r="C61" s="106"/>
      <c r="D61" s="157" t="s">
        <v>78</v>
      </c>
      <c r="E61" s="158">
        <f>C30+K22</f>
        <v>265188.52</v>
      </c>
      <c r="F61" s="4"/>
      <c r="K61" s="131"/>
      <c r="P61" t="s">
        <v>0</v>
      </c>
    </row>
    <row r="62" spans="1:16" x14ac:dyDescent="0.25">
      <c r="B62" s="35" t="s">
        <v>125</v>
      </c>
      <c r="C62" s="35">
        <f>E60+E61+E63+E64</f>
        <v>769746.47000000009</v>
      </c>
      <c r="D62" s="159" t="s">
        <v>70</v>
      </c>
      <c r="E62" s="160">
        <f>C25+K14</f>
        <v>237168.31</v>
      </c>
      <c r="I62" s="35"/>
    </row>
    <row r="63" spans="1:16" ht="15.75" thickBot="1" x14ac:dyDescent="0.3">
      <c r="B63" s="35" t="s">
        <v>126</v>
      </c>
      <c r="C63" s="41">
        <f>K33+K47</f>
        <v>169261.49</v>
      </c>
      <c r="D63" s="159" t="s">
        <v>104</v>
      </c>
      <c r="E63" s="160">
        <f>C47+K30</f>
        <v>4170.8900000000003</v>
      </c>
    </row>
    <row r="64" spans="1:16" ht="15.75" thickBot="1" x14ac:dyDescent="0.3">
      <c r="B64" s="161" t="s">
        <v>127</v>
      </c>
      <c r="C64" s="162">
        <f>C62-C63</f>
        <v>600484.9800000001</v>
      </c>
      <c r="D64" s="159" t="s">
        <v>42</v>
      </c>
      <c r="E64" s="160">
        <f>C17+K20</f>
        <v>78845.67</v>
      </c>
    </row>
    <row r="65" spans="2:10" x14ac:dyDescent="0.25">
      <c r="B65" s="35"/>
      <c r="C65" s="35"/>
      <c r="D65" s="32"/>
      <c r="E65" s="35"/>
      <c r="I65" s="35"/>
      <c r="J65" s="35"/>
    </row>
    <row r="66" spans="2:10" x14ac:dyDescent="0.25">
      <c r="B66" s="163">
        <f>C35+C39+C51</f>
        <v>59030.559999999998</v>
      </c>
      <c r="C66" s="164" t="s">
        <v>128</v>
      </c>
    </row>
    <row r="68" spans="2:10" x14ac:dyDescent="0.25">
      <c r="B68" s="166"/>
      <c r="C68" s="166"/>
      <c r="D68" s="166"/>
      <c r="E68" s="35"/>
    </row>
    <row r="69" spans="2:10" x14ac:dyDescent="0.25">
      <c r="C69" s="35"/>
      <c r="D69" s="35"/>
    </row>
    <row r="70" spans="2:10" x14ac:dyDescent="0.25">
      <c r="E70">
        <v>0</v>
      </c>
    </row>
    <row r="71" spans="2:10" x14ac:dyDescent="0.25">
      <c r="D71" s="35"/>
      <c r="E71" t="s">
        <v>0</v>
      </c>
    </row>
    <row r="72" spans="2:10" x14ac:dyDescent="0.25">
      <c r="B72" s="35"/>
      <c r="D72" s="35"/>
    </row>
    <row r="73" spans="2:10" x14ac:dyDescent="0.25">
      <c r="D73" s="35"/>
    </row>
    <row r="74" spans="2:10" x14ac:dyDescent="0.25">
      <c r="E74" s="35"/>
    </row>
  </sheetData>
  <mergeCells count="8">
    <mergeCell ref="J39:K39"/>
    <mergeCell ref="L47:M47"/>
    <mergeCell ref="B1:F1"/>
    <mergeCell ref="J1:K1"/>
    <mergeCell ref="P1:T1"/>
    <mergeCell ref="O18:P18"/>
    <mergeCell ref="R20:T20"/>
    <mergeCell ref="L33:M33"/>
  </mergeCells>
  <pageMargins left="0.511811024" right="0.511811024" top="0.78740157499999996" bottom="0.78740157499999996" header="0.31496062000000002" footer="0.31496062000000002"/>
  <pageSetup paperSize="9" scale="72" orientation="portrait" horizontalDpi="0" verticalDpi="0" r:id="rId1"/>
  <rowBreaks count="1" manualBreakCount="1">
    <brk id="67" max="16383" man="1"/>
  </rowBreaks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JAN.2021</vt:lpstr>
      <vt:lpstr>FEV.2021</vt:lpstr>
      <vt:lpstr>MARÇO.2021</vt:lpstr>
      <vt:lpstr>FEV.2021!Area_de_impressao</vt:lpstr>
      <vt:lpstr>JAN.2021!Area_de_impressao</vt:lpstr>
      <vt:lpstr>MARÇO.2021!Area_de_impressao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Contabilidade-Jerri</cp:lastModifiedBy>
  <cp:lastPrinted>2021-03-29T16:03:40Z</cp:lastPrinted>
  <dcterms:created xsi:type="dcterms:W3CDTF">2021-01-28T11:00:39Z</dcterms:created>
  <dcterms:modified xsi:type="dcterms:W3CDTF">2022-01-27T13:53:09Z</dcterms:modified>
</cp:coreProperties>
</file>